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Users\rsaucedo\OneDrive - City of Las Vegas\CLV Charter School\"/>
    </mc:Choice>
  </mc:AlternateContent>
  <bookViews>
    <workbookView xWindow="0" yWindow="0" windowWidth="28800" windowHeight="12300" firstSheet="2" activeTab="13"/>
  </bookViews>
  <sheets>
    <sheet name="Instructions" sheetId="36" r:id="rId1"/>
    <sheet name="Cover" sheetId="52" r:id="rId2"/>
    <sheet name="TOC" sheetId="66" r:id="rId3"/>
    <sheet name="Summary" sheetId="18" r:id="rId4"/>
    <sheet name="Market" sheetId="41" r:id="rId5"/>
    <sheet name=" Enrol &amp; Rev" sheetId="13" r:id="rId6"/>
    <sheet name="CF Y1 Mo" sheetId="38" r:id="rId7"/>
    <sheet name="Staff" sheetId="62" r:id="rId8"/>
    <sheet name="Gen Optg" sheetId="61" r:id="rId9"/>
    <sheet name="Facilities" sheetId="46" r:id="rId10"/>
    <sheet name="FFE&amp;T" sheetId="34" r:id="rId11"/>
    <sheet name="Ins" sheetId="47" r:id="rId12"/>
    <sheet name="Marketing" sheetId="48" r:id="rId13"/>
    <sheet name="Incubation" sheetId="39" r:id="rId14"/>
    <sheet name="EMO-CMO" sheetId="45" r:id="rId15"/>
    <sheet name="PCFP Rates" sheetId="35" r:id="rId16"/>
    <sheet name="Facilities wkst" sheetId="53" r:id="rId17"/>
    <sheet name="Dev Notes" sheetId="57" state="hidden" r:id="rId18"/>
    <sheet name="Note FFE" sheetId="54" state="hidden" r:id="rId19"/>
    <sheet name="Eq wip" sheetId="55" state="hidden" r:id="rId20"/>
    <sheet name="Levers" sheetId="63" r:id="rId21"/>
  </sheets>
  <definedNames>
    <definedName name="Counties">'PCFP Rates'!$O$14:$O$41</definedName>
    <definedName name="County">'PCFP Rates'!$O$14:$O$41</definedName>
    <definedName name="DSA">'PCFP Rates'!$P$14:$P$41</definedName>
    <definedName name="HypLink1">TOC!$B$11</definedName>
    <definedName name="HypLink10">Facilities!$A$1</definedName>
    <definedName name="HypLink11">'FFE&amp;T'!$A$1</definedName>
    <definedName name="HypLink12">Ins!$A$1</definedName>
    <definedName name="HypLink13">Marketing!$A$1</definedName>
    <definedName name="HypLink14">Incubation!$A$1</definedName>
    <definedName name="HypLink15">'EMO-CMO'!$A$1</definedName>
    <definedName name="HypLink16">'CF Y1 Mo'!$A$1</definedName>
    <definedName name="HypLink17">'Facilities wkst'!$A$1</definedName>
    <definedName name="HypLink18">'PCFP Rates'!$A$1</definedName>
    <definedName name="HypLink19">'Note FFE'!$A$1</definedName>
    <definedName name="HypLink2">#REF!</definedName>
    <definedName name="HypLink20">'Eq wip'!$A$1</definedName>
    <definedName name="HypLink21">'Dev Notes'!$A$1</definedName>
    <definedName name="HypLink22">Levers!#REF!</definedName>
    <definedName name="HypLink3">Instructions!$A$6</definedName>
    <definedName name="HypLink4">Cover!$A$1</definedName>
    <definedName name="HypLink5">Summary!$A$1</definedName>
    <definedName name="HypLink6" localSheetId="8">'Gen Optg'!$A$1</definedName>
    <definedName name="HypLink6" localSheetId="7">Staff!$A$1</definedName>
    <definedName name="HypLink6">Market!$A$1</definedName>
    <definedName name="HypLink7">' Enrol &amp; Rev'!$A$1</definedName>
    <definedName name="HypLink8">Staff!$A$1</definedName>
    <definedName name="HypLink9">'Gen Optg'!$A$1</definedName>
    <definedName name="_xlnm.Print_Area" localSheetId="5">' Enrol &amp; Rev'!$A$1:$N$110</definedName>
    <definedName name="_xlnm.Print_Area" localSheetId="6">'CF Y1 Mo'!$A$1:$Q$130</definedName>
    <definedName name="_xlnm.Print_Area" localSheetId="1">Cover!$A$1:$G$27</definedName>
    <definedName name="_xlnm.Print_Area" localSheetId="17">'Dev Notes'!$A$1:$T$90</definedName>
    <definedName name="_xlnm.Print_Area" localSheetId="14">'EMO-CMO'!$A$1:$L$77</definedName>
    <definedName name="_xlnm.Print_Area" localSheetId="19">'Eq wip'!$A$1:$N$50</definedName>
    <definedName name="_xlnm.Print_Area" localSheetId="9">Facilities!$A$1:$L$71</definedName>
    <definedName name="_xlnm.Print_Area" localSheetId="10">'FFE&amp;T'!$A$1:$L$51</definedName>
    <definedName name="_xlnm.Print_Area" localSheetId="8">'Gen Optg'!$A$1:$L$147</definedName>
    <definedName name="_xlnm.Print_Area" localSheetId="13">Incubation!$A$1:$F$29</definedName>
    <definedName name="_xlnm.Print_Area" localSheetId="11">Ins!$A$1:$L$50</definedName>
    <definedName name="_xlnm.Print_Area" localSheetId="0">Instructions!$A$1:$A$97</definedName>
    <definedName name="_xlnm.Print_Area" localSheetId="20">Levers!$A$1:$I$39</definedName>
    <definedName name="_xlnm.Print_Area" localSheetId="4">Market!$A$1:$K$68</definedName>
    <definedName name="_xlnm.Print_Area" localSheetId="12">Marketing!$A$1:$N$46</definedName>
    <definedName name="_xlnm.Print_Area" localSheetId="18">'Note FFE'!$A$1:$I$43</definedName>
    <definedName name="_xlnm.Print_Area" localSheetId="15">'PCFP Rates'!$A$1:$M$432</definedName>
    <definedName name="_xlnm.Print_Area" localSheetId="7">Staff!$A$1:$N$69</definedName>
    <definedName name="_xlnm.Print_Area" localSheetId="3">Summary!$A$1:$M$172</definedName>
    <definedName name="_xlnm.Print_Area" localSheetId="2">TOC!$A$1:$K$26</definedName>
    <definedName name="_xlnm.Print_Titles" localSheetId="5">' Enrol &amp; Rev'!$9:$11</definedName>
    <definedName name="_xlnm.Print_Titles" localSheetId="6">'CF Y1 Mo'!$7:$12</definedName>
    <definedName name="_xlnm.Print_Titles" localSheetId="14">'EMO-CMO'!$9:$11</definedName>
    <definedName name="_xlnm.Print_Titles" localSheetId="16">'Facilities wkst'!$A:$A</definedName>
    <definedName name="_xlnm.Print_Titles" localSheetId="8">'Gen Optg'!$9:$11</definedName>
    <definedName name="_xlnm.Print_Titles" localSheetId="20">Levers!$7:$8</definedName>
    <definedName name="_xlnm.Print_Titles" localSheetId="4">Market!$7:$9</definedName>
    <definedName name="_xlnm.Print_Titles" localSheetId="12">Marketing!$11:$13</definedName>
    <definedName name="_xlnm.Print_Titles" localSheetId="7">Staff!#REF!</definedName>
    <definedName name="_xlnm.Print_Titles" localSheetId="3">Summary!$6:$8</definedName>
    <definedName name="SchoolName">Cover!$C$9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9" i="62" l="1"/>
  <c r="B25" i="52" l="1"/>
  <c r="B136" i="18"/>
  <c r="B135" i="18"/>
  <c r="B74" i="38"/>
  <c r="H75" i="62"/>
  <c r="I75" i="62"/>
  <c r="F25" i="35"/>
  <c r="F24" i="35"/>
  <c r="F23" i="35"/>
  <c r="F22" i="35"/>
  <c r="F21" i="35"/>
  <c r="F20" i="35"/>
  <c r="F14" i="18" l="1"/>
  <c r="F13" i="18"/>
  <c r="A82" i="13"/>
  <c r="A89" i="13"/>
  <c r="A88" i="13"/>
  <c r="A87" i="13"/>
  <c r="A86" i="13"/>
  <c r="A85" i="13"/>
  <c r="A84" i="13"/>
  <c r="A83" i="13"/>
  <c r="A67" i="13"/>
  <c r="A66" i="13"/>
  <c r="A65" i="13"/>
  <c r="A64" i="13"/>
  <c r="A63" i="13"/>
  <c r="A62" i="13"/>
  <c r="A61" i="13"/>
  <c r="A60" i="13"/>
  <c r="A59" i="13"/>
  <c r="C79" i="13"/>
  <c r="C66" i="13" s="1"/>
  <c r="C85" i="13"/>
  <c r="A38" i="13"/>
  <c r="A73" i="13"/>
  <c r="A72" i="13"/>
  <c r="A71" i="13"/>
  <c r="A70" i="13"/>
  <c r="A69" i="13"/>
  <c r="A68" i="13"/>
  <c r="A58" i="13"/>
  <c r="A57" i="13"/>
  <c r="A56" i="13"/>
  <c r="A55" i="13"/>
  <c r="A54" i="13"/>
  <c r="A53" i="13"/>
  <c r="A52" i="13"/>
  <c r="A51" i="13"/>
  <c r="A50" i="13"/>
  <c r="A49" i="13"/>
  <c r="A48" i="13"/>
  <c r="A47" i="13"/>
  <c r="A46" i="13"/>
  <c r="A45" i="13"/>
  <c r="A44" i="13"/>
  <c r="A43" i="13"/>
  <c r="A42" i="13"/>
  <c r="A41" i="13"/>
  <c r="A40" i="13"/>
  <c r="A39" i="13"/>
  <c r="E35" i="35"/>
  <c r="E34" i="35"/>
  <c r="E33" i="35"/>
  <c r="E32" i="35"/>
  <c r="E31" i="35"/>
  <c r="E30" i="35"/>
  <c r="C57" i="13"/>
  <c r="C56" i="13"/>
  <c r="C55" i="13"/>
  <c r="C54" i="13"/>
  <c r="B57" i="13"/>
  <c r="B56" i="13"/>
  <c r="B55" i="13"/>
  <c r="B54" i="13"/>
  <c r="B53" i="13"/>
  <c r="D47" i="13" l="1"/>
  <c r="F47" i="13" s="1"/>
  <c r="F46" i="13"/>
  <c r="H61" i="13" s="1"/>
  <c r="I61" i="13" s="1"/>
  <c r="J61" i="13" s="1"/>
  <c r="K61" i="13" s="1"/>
  <c r="L61" i="13" s="1"/>
  <c r="M61" i="13" s="1"/>
  <c r="F45" i="13"/>
  <c r="F44" i="13"/>
  <c r="H62" i="13" s="1"/>
  <c r="I62" i="13" s="1"/>
  <c r="J62" i="13" s="1"/>
  <c r="K62" i="13" s="1"/>
  <c r="L62" i="13" s="1"/>
  <c r="M62" i="13" s="1"/>
  <c r="F43" i="13"/>
  <c r="H63" i="13" s="1"/>
  <c r="I63" i="13" s="1"/>
  <c r="J63" i="13" s="1"/>
  <c r="K63" i="13" s="1"/>
  <c r="L63" i="13" s="1"/>
  <c r="M63" i="13" s="1"/>
  <c r="K62" i="35" l="1"/>
  <c r="K61" i="35"/>
  <c r="K60" i="35"/>
  <c r="K59" i="35"/>
  <c r="K63" i="35" l="1"/>
  <c r="D54" i="35" l="1"/>
  <c r="D15" i="35"/>
  <c r="H34" i="13" l="1"/>
  <c r="H81" i="13" l="1"/>
  <c r="H46" i="13"/>
  <c r="H43" i="13"/>
  <c r="H44" i="13"/>
  <c r="H45" i="13"/>
  <c r="D110" i="35"/>
  <c r="D109" i="35"/>
  <c r="D108" i="35"/>
  <c r="D107" i="35"/>
  <c r="D106" i="35"/>
  <c r="D105" i="35"/>
  <c r="A81" i="13"/>
  <c r="I110" i="35"/>
  <c r="H110" i="35"/>
  <c r="G110" i="35"/>
  <c r="F110" i="35"/>
  <c r="I109" i="35"/>
  <c r="H109" i="35"/>
  <c r="G109" i="35"/>
  <c r="F109" i="35"/>
  <c r="I108" i="35"/>
  <c r="H108" i="35"/>
  <c r="G108" i="35"/>
  <c r="F108" i="35"/>
  <c r="I107" i="35"/>
  <c r="H107" i="35"/>
  <c r="G107" i="35"/>
  <c r="F107" i="35"/>
  <c r="I106" i="35"/>
  <c r="H106" i="35"/>
  <c r="G106" i="35"/>
  <c r="F106" i="35"/>
  <c r="I105" i="35"/>
  <c r="H105" i="35"/>
  <c r="G105" i="35"/>
  <c r="F105" i="35"/>
  <c r="B110" i="35"/>
  <c r="B109" i="35"/>
  <c r="B108" i="35"/>
  <c r="B107" i="35"/>
  <c r="B106" i="35"/>
  <c r="B105" i="35"/>
  <c r="E110" i="35"/>
  <c r="E109" i="35"/>
  <c r="E108" i="35"/>
  <c r="E107" i="35"/>
  <c r="E106" i="35"/>
  <c r="E105" i="35"/>
  <c r="I98" i="35"/>
  <c r="H98" i="35"/>
  <c r="G98" i="35"/>
  <c r="F98" i="35"/>
  <c r="C77" i="35"/>
  <c r="C100" i="35"/>
  <c r="C112" i="35"/>
  <c r="A106" i="35"/>
  <c r="A107" i="35" s="1"/>
  <c r="A108" i="35" s="1"/>
  <c r="A109" i="35" s="1"/>
  <c r="A110" i="35" s="1"/>
  <c r="C91" i="35"/>
  <c r="I90" i="35"/>
  <c r="H90" i="35"/>
  <c r="G90" i="35"/>
  <c r="F90" i="35"/>
  <c r="I89" i="35"/>
  <c r="H89" i="35"/>
  <c r="G89" i="35"/>
  <c r="F89" i="35"/>
  <c r="I88" i="35"/>
  <c r="H88" i="35"/>
  <c r="G88" i="35"/>
  <c r="F88" i="35"/>
  <c r="I85" i="35"/>
  <c r="H85" i="35"/>
  <c r="G85" i="35"/>
  <c r="I84" i="35"/>
  <c r="H84" i="35"/>
  <c r="G84" i="35"/>
  <c r="F84" i="35"/>
  <c r="F85" i="35"/>
  <c r="E90" i="35"/>
  <c r="E89" i="35"/>
  <c r="E88" i="35"/>
  <c r="E85" i="35"/>
  <c r="E84" i="35"/>
  <c r="B89" i="35"/>
  <c r="B88" i="35"/>
  <c r="B87" i="35"/>
  <c r="B86" i="35"/>
  <c r="B85" i="35"/>
  <c r="B84" i="35"/>
  <c r="A85" i="35"/>
  <c r="A86" i="35" s="1"/>
  <c r="A87" i="35" s="1"/>
  <c r="A88" i="35" s="1"/>
  <c r="A89" i="35" s="1"/>
  <c r="E77" i="35"/>
  <c r="E96" i="35" s="1"/>
  <c r="H47" i="13" l="1"/>
  <c r="H48" i="13"/>
  <c r="H49" i="13" s="1"/>
  <c r="J107" i="35"/>
  <c r="J110" i="35"/>
  <c r="J106" i="35"/>
  <c r="J109" i="35"/>
  <c r="J105" i="35"/>
  <c r="J90" i="35"/>
  <c r="J89" i="35"/>
  <c r="J84" i="35"/>
  <c r="J108" i="35" l="1"/>
  <c r="J88" i="35"/>
  <c r="J85" i="35"/>
  <c r="H79" i="35"/>
  <c r="G79" i="35"/>
  <c r="I79" i="35"/>
  <c r="F79" i="35"/>
  <c r="H77" i="35"/>
  <c r="G77" i="35"/>
  <c r="I77" i="35"/>
  <c r="F77" i="35"/>
  <c r="H96" i="35" l="1"/>
  <c r="I96" i="35"/>
  <c r="F96" i="35"/>
  <c r="G96" i="35"/>
  <c r="J77" i="35"/>
  <c r="I257" i="35"/>
  <c r="H257" i="35"/>
  <c r="G257" i="35"/>
  <c r="F257" i="35"/>
  <c r="E257" i="35"/>
  <c r="I256" i="35"/>
  <c r="H256" i="35"/>
  <c r="G256" i="35"/>
  <c r="F256" i="35"/>
  <c r="E256" i="35"/>
  <c r="E235" i="35" s="1"/>
  <c r="I255" i="35"/>
  <c r="H255" i="35"/>
  <c r="G255" i="35"/>
  <c r="F255" i="35"/>
  <c r="E255" i="35"/>
  <c r="E234" i="35" s="1"/>
  <c r="I254" i="35"/>
  <c r="H254" i="35"/>
  <c r="G254" i="35"/>
  <c r="F254" i="35"/>
  <c r="E254" i="35"/>
  <c r="I253" i="35"/>
  <c r="H253" i="35"/>
  <c r="G253" i="35"/>
  <c r="F253" i="35"/>
  <c r="E253" i="35"/>
  <c r="I252" i="35"/>
  <c r="H252" i="35"/>
  <c r="G252" i="35"/>
  <c r="F252" i="35"/>
  <c r="E252" i="35"/>
  <c r="E231" i="35" s="1"/>
  <c r="E15" i="35"/>
  <c r="D111" i="35" s="1"/>
  <c r="C58" i="13" s="1"/>
  <c r="F55" i="13" s="1"/>
  <c r="B296" i="35"/>
  <c r="B295" i="35"/>
  <c r="B294" i="35"/>
  <c r="D293" i="35"/>
  <c r="B293" i="35"/>
  <c r="D292" i="35"/>
  <c r="B292" i="35"/>
  <c r="A292" i="35"/>
  <c r="A293" i="35" s="1"/>
  <c r="A294" i="35" s="1"/>
  <c r="A295" i="35" s="1"/>
  <c r="A296" i="35" s="1"/>
  <c r="D291" i="35"/>
  <c r="B291" i="35"/>
  <c r="B286" i="35"/>
  <c r="B285" i="35"/>
  <c r="B284" i="35"/>
  <c r="D283" i="35"/>
  <c r="B283" i="35"/>
  <c r="D282" i="35"/>
  <c r="B282" i="35"/>
  <c r="A282" i="35"/>
  <c r="A283" i="35" s="1"/>
  <c r="A284" i="35" s="1"/>
  <c r="A285" i="35" s="1"/>
  <c r="A286" i="35" s="1"/>
  <c r="D281" i="35"/>
  <c r="B281" i="35"/>
  <c r="I275" i="35"/>
  <c r="H275" i="35"/>
  <c r="G275" i="35"/>
  <c r="F275" i="35"/>
  <c r="E275" i="35"/>
  <c r="B273" i="35"/>
  <c r="B272" i="35"/>
  <c r="B271" i="35"/>
  <c r="D270" i="35"/>
  <c r="B270" i="35"/>
  <c r="D269" i="35"/>
  <c r="B269" i="35"/>
  <c r="A269" i="35"/>
  <c r="A270" i="35" s="1"/>
  <c r="A271" i="35" s="1"/>
  <c r="A272" i="35" s="1"/>
  <c r="A273" i="35" s="1"/>
  <c r="D268" i="35"/>
  <c r="B268" i="35"/>
  <c r="D31" i="35"/>
  <c r="F31" i="35" s="1"/>
  <c r="D35" i="35"/>
  <c r="F35" i="35" s="1"/>
  <c r="D34" i="35"/>
  <c r="F34" i="35" s="1"/>
  <c r="D33" i="35"/>
  <c r="F33" i="35" s="1"/>
  <c r="D32" i="35"/>
  <c r="F32" i="35" s="1"/>
  <c r="D30" i="35"/>
  <c r="F30" i="35" s="1"/>
  <c r="I78" i="35" l="1"/>
  <c r="K77" i="35"/>
  <c r="G78" i="35"/>
  <c r="I111" i="35"/>
  <c r="I112" i="35" s="1"/>
  <c r="D88" i="35"/>
  <c r="J96" i="35"/>
  <c r="D87" i="35"/>
  <c r="D84" i="35"/>
  <c r="D89" i="35"/>
  <c r="D86" i="35"/>
  <c r="D85" i="35"/>
  <c r="D256" i="35"/>
  <c r="G111" i="35"/>
  <c r="G112" i="35" s="1"/>
  <c r="D90" i="35"/>
  <c r="E83" i="35"/>
  <c r="E87" i="35"/>
  <c r="J78" i="35"/>
  <c r="E78" i="35"/>
  <c r="F78" i="35"/>
  <c r="H78" i="35"/>
  <c r="H258" i="35"/>
  <c r="D233" i="35"/>
  <c r="D245" i="35"/>
  <c r="D234" i="35"/>
  <c r="D242" i="35"/>
  <c r="D246" i="35"/>
  <c r="D254" i="35"/>
  <c r="D253" i="35"/>
  <c r="D231" i="35"/>
  <c r="D235" i="35"/>
  <c r="D243" i="35"/>
  <c r="D247" i="35"/>
  <c r="D255" i="35"/>
  <c r="F258" i="35"/>
  <c r="J253" i="35"/>
  <c r="J257" i="35"/>
  <c r="D257" i="35"/>
  <c r="J275" i="35"/>
  <c r="D232" i="35"/>
  <c r="D236" i="35"/>
  <c r="D244" i="35"/>
  <c r="D252" i="35"/>
  <c r="G258" i="35"/>
  <c r="J254" i="35"/>
  <c r="J255" i="35"/>
  <c r="E232" i="35"/>
  <c r="E236" i="35"/>
  <c r="J252" i="35"/>
  <c r="I258" i="35"/>
  <c r="J256" i="35"/>
  <c r="E233" i="35"/>
  <c r="E258" i="35"/>
  <c r="E237" i="35" l="1"/>
  <c r="F58" i="13"/>
  <c r="H58" i="13" s="1"/>
  <c r="F56" i="13"/>
  <c r="F57" i="13"/>
  <c r="F54" i="13"/>
  <c r="F86" i="35"/>
  <c r="G86" i="35"/>
  <c r="I86" i="35"/>
  <c r="H86" i="35"/>
  <c r="E86" i="35"/>
  <c r="G97" i="35"/>
  <c r="F97" i="35"/>
  <c r="H111" i="35"/>
  <c r="H112" i="35" s="1"/>
  <c r="I87" i="35"/>
  <c r="F87" i="35"/>
  <c r="G87" i="35"/>
  <c r="G91" i="35" s="1"/>
  <c r="G92" i="35" s="1"/>
  <c r="H87" i="35"/>
  <c r="H91" i="35" s="1"/>
  <c r="H92" i="35" s="1"/>
  <c r="F111" i="35"/>
  <c r="F112" i="35" s="1"/>
  <c r="I97" i="35"/>
  <c r="E91" i="35"/>
  <c r="E92" i="35" s="1"/>
  <c r="H97" i="35"/>
  <c r="E111" i="35"/>
  <c r="J97" i="35"/>
  <c r="E97" i="35"/>
  <c r="E104" i="35"/>
  <c r="E260" i="35"/>
  <c r="J258" i="35"/>
  <c r="F91" i="35" l="1"/>
  <c r="F92" i="35" s="1"/>
  <c r="I91" i="35"/>
  <c r="I92" i="35" s="1"/>
  <c r="J86" i="35"/>
  <c r="H56" i="13"/>
  <c r="I56" i="13"/>
  <c r="H55" i="13"/>
  <c r="I55" i="13"/>
  <c r="H54" i="13"/>
  <c r="I54" i="13"/>
  <c r="H57" i="13"/>
  <c r="I57" i="13"/>
  <c r="E93" i="35"/>
  <c r="G93" i="35"/>
  <c r="F93" i="35"/>
  <c r="I93" i="35"/>
  <c r="H93" i="35"/>
  <c r="J87" i="35"/>
  <c r="J111" i="35"/>
  <c r="E112" i="35"/>
  <c r="J112" i="35" s="1"/>
  <c r="J91" i="35"/>
  <c r="J92" i="35" s="1"/>
  <c r="J93" i="35" s="1"/>
  <c r="D199" i="35"/>
  <c r="D198" i="35"/>
  <c r="D197" i="35"/>
  <c r="D196" i="35"/>
  <c r="D195" i="35"/>
  <c r="D194" i="35"/>
  <c r="D212" i="35"/>
  <c r="D211" i="35"/>
  <c r="D210" i="35"/>
  <c r="D209" i="35"/>
  <c r="D208" i="35"/>
  <c r="D207" i="35"/>
  <c r="I222" i="35"/>
  <c r="H222" i="35"/>
  <c r="G222" i="35"/>
  <c r="F222" i="35"/>
  <c r="E222" i="35"/>
  <c r="I221" i="35"/>
  <c r="H221" i="35"/>
  <c r="G221" i="35"/>
  <c r="F221" i="35"/>
  <c r="E221" i="35"/>
  <c r="E198" i="35" s="1"/>
  <c r="I220" i="35"/>
  <c r="H220" i="35"/>
  <c r="G220" i="35"/>
  <c r="F220" i="35"/>
  <c r="E220" i="35"/>
  <c r="E197" i="35" s="1"/>
  <c r="I219" i="35"/>
  <c r="H219" i="35"/>
  <c r="G219" i="35"/>
  <c r="F219" i="35"/>
  <c r="E219" i="35"/>
  <c r="E196" i="35" s="1"/>
  <c r="I218" i="35"/>
  <c r="H218" i="35"/>
  <c r="G218" i="35"/>
  <c r="F218" i="35"/>
  <c r="E218" i="35"/>
  <c r="E195" i="35" s="1"/>
  <c r="I217" i="35"/>
  <c r="H217" i="35"/>
  <c r="G217" i="35"/>
  <c r="E217" i="35"/>
  <c r="E194" i="35" s="1"/>
  <c r="D222" i="35"/>
  <c r="D221" i="35"/>
  <c r="D220" i="35"/>
  <c r="D219" i="35"/>
  <c r="D218" i="35"/>
  <c r="D217" i="35"/>
  <c r="F217" i="35" s="1"/>
  <c r="B257" i="35"/>
  <c r="B256" i="35"/>
  <c r="B255" i="35"/>
  <c r="B254" i="35"/>
  <c r="B253" i="35"/>
  <c r="B252" i="35"/>
  <c r="B247" i="35"/>
  <c r="B246" i="35"/>
  <c r="B245" i="35"/>
  <c r="B244" i="35"/>
  <c r="B243" i="35"/>
  <c r="B242" i="35"/>
  <c r="B236" i="35"/>
  <c r="B235" i="35"/>
  <c r="B234" i="35"/>
  <c r="B233" i="35"/>
  <c r="B232" i="35"/>
  <c r="B231" i="35"/>
  <c r="B222" i="35"/>
  <c r="B221" i="35"/>
  <c r="B220" i="35"/>
  <c r="B219" i="35"/>
  <c r="B218" i="35"/>
  <c r="B217" i="35"/>
  <c r="B212" i="35"/>
  <c r="B211" i="35"/>
  <c r="B210" i="35"/>
  <c r="B209" i="35"/>
  <c r="B208" i="35"/>
  <c r="B207" i="35"/>
  <c r="B199" i="35"/>
  <c r="B198" i="35"/>
  <c r="B197" i="35"/>
  <c r="B196" i="35"/>
  <c r="B195" i="35"/>
  <c r="B194" i="35"/>
  <c r="B185" i="35"/>
  <c r="B184" i="35"/>
  <c r="B183" i="35"/>
  <c r="B182" i="35"/>
  <c r="B181" i="35"/>
  <c r="B180" i="35"/>
  <c r="B175" i="35"/>
  <c r="B174" i="35"/>
  <c r="B173" i="35"/>
  <c r="B172" i="35"/>
  <c r="B171" i="35"/>
  <c r="B170" i="35"/>
  <c r="B164" i="35"/>
  <c r="B163" i="35"/>
  <c r="B162" i="35"/>
  <c r="B161" i="35"/>
  <c r="B160" i="35"/>
  <c r="B159" i="35"/>
  <c r="B150" i="35"/>
  <c r="B149" i="35"/>
  <c r="B148" i="35"/>
  <c r="B147" i="35"/>
  <c r="B146" i="35"/>
  <c r="B145" i="35"/>
  <c r="B140" i="35"/>
  <c r="B139" i="35"/>
  <c r="B138" i="35"/>
  <c r="B137" i="35"/>
  <c r="B136" i="35"/>
  <c r="B135" i="35"/>
  <c r="B129" i="35"/>
  <c r="B128" i="35"/>
  <c r="B127" i="35"/>
  <c r="B126" i="35"/>
  <c r="B125" i="35"/>
  <c r="B124" i="35"/>
  <c r="A253" i="35"/>
  <c r="A254" i="35" s="1"/>
  <c r="A255" i="35" s="1"/>
  <c r="A256" i="35" s="1"/>
  <c r="A257" i="35" s="1"/>
  <c r="A243" i="35"/>
  <c r="A244" i="35" s="1"/>
  <c r="A245" i="35" s="1"/>
  <c r="A246" i="35" s="1"/>
  <c r="A247" i="35" s="1"/>
  <c r="A232" i="35"/>
  <c r="A233" i="35" s="1"/>
  <c r="A234" i="35" s="1"/>
  <c r="A235" i="35" s="1"/>
  <c r="A236" i="35" s="1"/>
  <c r="A218" i="35"/>
  <c r="A219" i="35" s="1"/>
  <c r="A220" i="35" s="1"/>
  <c r="A221" i="35" s="1"/>
  <c r="A222" i="35" s="1"/>
  <c r="A208" i="35"/>
  <c r="A209" i="35" s="1"/>
  <c r="A210" i="35" s="1"/>
  <c r="A211" i="35" s="1"/>
  <c r="A212" i="35" s="1"/>
  <c r="A195" i="35"/>
  <c r="A196" i="35" s="1"/>
  <c r="A197" i="35" s="1"/>
  <c r="A198" i="35" s="1"/>
  <c r="A199" i="35" s="1"/>
  <c r="I185" i="35"/>
  <c r="H185" i="35"/>
  <c r="G185" i="35"/>
  <c r="F185" i="35"/>
  <c r="E185" i="35"/>
  <c r="I184" i="35"/>
  <c r="H184" i="35"/>
  <c r="G184" i="35"/>
  <c r="F184" i="35"/>
  <c r="E184" i="35"/>
  <c r="I183" i="35"/>
  <c r="H183" i="35"/>
  <c r="G183" i="35"/>
  <c r="F183" i="35"/>
  <c r="E183" i="35"/>
  <c r="I182" i="35"/>
  <c r="H182" i="35"/>
  <c r="G182" i="35"/>
  <c r="F182" i="35"/>
  <c r="E182" i="35"/>
  <c r="I181" i="35"/>
  <c r="H181" i="35"/>
  <c r="G181" i="35"/>
  <c r="F181" i="35"/>
  <c r="E181" i="35"/>
  <c r="A181" i="35"/>
  <c r="A182" i="35" s="1"/>
  <c r="A183" i="35" s="1"/>
  <c r="A184" i="35" s="1"/>
  <c r="A185" i="35" s="1"/>
  <c r="I180" i="35"/>
  <c r="H180" i="35"/>
  <c r="G180" i="35"/>
  <c r="F180" i="35"/>
  <c r="E180" i="35"/>
  <c r="I176" i="35"/>
  <c r="H176" i="35"/>
  <c r="G176" i="35"/>
  <c r="F176" i="35"/>
  <c r="J175" i="35"/>
  <c r="J174" i="35"/>
  <c r="J173" i="35"/>
  <c r="J172" i="35"/>
  <c r="J171" i="35"/>
  <c r="A171" i="35"/>
  <c r="A172" i="35" s="1"/>
  <c r="A173" i="35" s="1"/>
  <c r="A174" i="35" s="1"/>
  <c r="A175" i="35" s="1"/>
  <c r="J170" i="35"/>
  <c r="I165" i="35"/>
  <c r="H165" i="35"/>
  <c r="G165" i="35"/>
  <c r="F165" i="35"/>
  <c r="E165" i="35"/>
  <c r="J164" i="35"/>
  <c r="J163" i="35"/>
  <c r="J162" i="35"/>
  <c r="J161" i="35"/>
  <c r="J160" i="35"/>
  <c r="A160" i="35"/>
  <c r="A161" i="35" s="1"/>
  <c r="A162" i="35" s="1"/>
  <c r="A163" i="35" s="1"/>
  <c r="A164" i="35" s="1"/>
  <c r="J159" i="35"/>
  <c r="I130" i="35"/>
  <c r="I201" i="35" s="1"/>
  <c r="I293" i="35" s="1"/>
  <c r="H130" i="35"/>
  <c r="H201" i="35" s="1"/>
  <c r="H293" i="35" s="1"/>
  <c r="G130" i="35"/>
  <c r="G201" i="35" s="1"/>
  <c r="G293" i="35" s="1"/>
  <c r="E130" i="35"/>
  <c r="E201" i="35" s="1"/>
  <c r="E293" i="35" s="1"/>
  <c r="F130" i="35"/>
  <c r="F201" i="35" s="1"/>
  <c r="F293" i="35" s="1"/>
  <c r="J124" i="35"/>
  <c r="I150" i="35"/>
  <c r="H150" i="35"/>
  <c r="G150" i="35"/>
  <c r="F150" i="35"/>
  <c r="E150" i="35"/>
  <c r="I149" i="35"/>
  <c r="H149" i="35"/>
  <c r="G149" i="35"/>
  <c r="F149" i="35"/>
  <c r="E149" i="35"/>
  <c r="I148" i="35"/>
  <c r="H148" i="35"/>
  <c r="G148" i="35"/>
  <c r="F148" i="35"/>
  <c r="E148" i="35"/>
  <c r="I169" i="35" s="1"/>
  <c r="I147" i="35"/>
  <c r="H147" i="35"/>
  <c r="G147" i="35"/>
  <c r="F147" i="35"/>
  <c r="E147" i="35"/>
  <c r="H169" i="35" s="1"/>
  <c r="I146" i="35"/>
  <c r="H146" i="35"/>
  <c r="G146" i="35"/>
  <c r="F146" i="35"/>
  <c r="E146" i="35"/>
  <c r="G169" i="35" s="1"/>
  <c r="I145" i="35"/>
  <c r="H145" i="35"/>
  <c r="G145" i="35"/>
  <c r="F145" i="35"/>
  <c r="E145" i="35"/>
  <c r="F169" i="35" s="1"/>
  <c r="A146" i="35"/>
  <c r="A147" i="35" s="1"/>
  <c r="A148" i="35" s="1"/>
  <c r="A149" i="35" s="1"/>
  <c r="A150" i="35" s="1"/>
  <c r="A136" i="35"/>
  <c r="A137" i="35" s="1"/>
  <c r="A138" i="35" s="1"/>
  <c r="A139" i="35" s="1"/>
  <c r="A140" i="35" s="1"/>
  <c r="A125" i="35"/>
  <c r="A126" i="35" s="1"/>
  <c r="A127" i="35" s="1"/>
  <c r="A128" i="35" s="1"/>
  <c r="A129" i="35" s="1"/>
  <c r="J129" i="35"/>
  <c r="J128" i="35"/>
  <c r="J127" i="35"/>
  <c r="J126" i="35"/>
  <c r="J125" i="35"/>
  <c r="J140" i="35"/>
  <c r="J139" i="35"/>
  <c r="J138" i="35"/>
  <c r="J137" i="35"/>
  <c r="J136" i="35"/>
  <c r="J135" i="35"/>
  <c r="I141" i="35"/>
  <c r="H141" i="35"/>
  <c r="G141" i="35"/>
  <c r="F141" i="35"/>
  <c r="I134" i="35"/>
  <c r="I206" i="35" s="1"/>
  <c r="H134" i="35"/>
  <c r="H206" i="35" s="1"/>
  <c r="F134" i="35"/>
  <c r="F206" i="35" s="1"/>
  <c r="G134" i="35"/>
  <c r="G206" i="35" s="1"/>
  <c r="G408" i="35"/>
  <c r="J397" i="35"/>
  <c r="H83" i="13" l="1"/>
  <c r="H86" i="13" s="1"/>
  <c r="I99" i="13"/>
  <c r="J293" i="35"/>
  <c r="E270" i="35"/>
  <c r="J270" i="35" s="1"/>
  <c r="I207" i="35"/>
  <c r="I194" i="35" s="1"/>
  <c r="I208" i="35"/>
  <c r="I195" i="35" s="1"/>
  <c r="I209" i="35"/>
  <c r="I280" i="35" s="1"/>
  <c r="I210" i="35"/>
  <c r="I211" i="35"/>
  <c r="I212" i="35"/>
  <c r="I247" i="35"/>
  <c r="I236" i="35" s="1"/>
  <c r="I243" i="35"/>
  <c r="I232" i="35" s="1"/>
  <c r="I242" i="35"/>
  <c r="I246" i="35"/>
  <c r="I235" i="35" s="1"/>
  <c r="I245" i="35"/>
  <c r="I234" i="35" s="1"/>
  <c r="I244" i="35"/>
  <c r="I233" i="35" s="1"/>
  <c r="G243" i="35"/>
  <c r="G232" i="35" s="1"/>
  <c r="G247" i="35"/>
  <c r="G236" i="35" s="1"/>
  <c r="G207" i="35"/>
  <c r="G194" i="35" s="1"/>
  <c r="G208" i="35"/>
  <c r="G195" i="35" s="1"/>
  <c r="G209" i="35"/>
  <c r="G196" i="35" s="1"/>
  <c r="G210" i="35"/>
  <c r="G211" i="35"/>
  <c r="G212" i="35"/>
  <c r="G245" i="35"/>
  <c r="G234" i="35" s="1"/>
  <c r="G246" i="35"/>
  <c r="G235" i="35" s="1"/>
  <c r="G242" i="35"/>
  <c r="G244" i="35"/>
  <c r="G233" i="35" s="1"/>
  <c r="H247" i="35"/>
  <c r="H236" i="35" s="1"/>
  <c r="H246" i="35"/>
  <c r="H235" i="35" s="1"/>
  <c r="H244" i="35"/>
  <c r="H233" i="35" s="1"/>
  <c r="H243" i="35"/>
  <c r="H232" i="35" s="1"/>
  <c r="H242" i="35"/>
  <c r="H207" i="35"/>
  <c r="H194" i="35" s="1"/>
  <c r="H208" i="35"/>
  <c r="H209" i="35"/>
  <c r="H210" i="35"/>
  <c r="H211" i="35"/>
  <c r="H212" i="35"/>
  <c r="H245" i="35"/>
  <c r="H234" i="35" s="1"/>
  <c r="F243" i="35"/>
  <c r="F207" i="35"/>
  <c r="F208" i="35"/>
  <c r="F209" i="35"/>
  <c r="F210" i="35"/>
  <c r="F211" i="35"/>
  <c r="F212" i="35"/>
  <c r="F246" i="35"/>
  <c r="F242" i="35"/>
  <c r="F247" i="35"/>
  <c r="F244" i="35"/>
  <c r="F245" i="35"/>
  <c r="D284" i="35"/>
  <c r="D294" i="35"/>
  <c r="D271" i="35"/>
  <c r="H295" i="35"/>
  <c r="D295" i="35"/>
  <c r="G295" i="35"/>
  <c r="D285" i="35"/>
  <c r="D272" i="35"/>
  <c r="F295" i="35"/>
  <c r="I295" i="35"/>
  <c r="E295" i="35"/>
  <c r="E272" i="35" s="1"/>
  <c r="I296" i="35"/>
  <c r="E296" i="35"/>
  <c r="D273" i="35"/>
  <c r="G296" i="35"/>
  <c r="D286" i="35"/>
  <c r="F296" i="35"/>
  <c r="H296" i="35"/>
  <c r="D296" i="35"/>
  <c r="H241" i="35"/>
  <c r="I241" i="35"/>
  <c r="G241" i="35"/>
  <c r="G282" i="35"/>
  <c r="H186" i="35"/>
  <c r="H188" i="35" s="1"/>
  <c r="J182" i="35"/>
  <c r="I186" i="35"/>
  <c r="I188" i="35" s="1"/>
  <c r="H195" i="35"/>
  <c r="J201" i="35"/>
  <c r="F241" i="35"/>
  <c r="I196" i="35"/>
  <c r="J141" i="35"/>
  <c r="J149" i="35"/>
  <c r="J222" i="35"/>
  <c r="E223" i="35"/>
  <c r="E225" i="35" s="1"/>
  <c r="J146" i="35"/>
  <c r="J219" i="35"/>
  <c r="J180" i="35"/>
  <c r="E186" i="35"/>
  <c r="E188" i="35" s="1"/>
  <c r="J165" i="35"/>
  <c r="D46" i="35" s="1"/>
  <c r="J183" i="35"/>
  <c r="F186" i="35"/>
  <c r="J184" i="35"/>
  <c r="G186" i="35"/>
  <c r="G188" i="35" s="1"/>
  <c r="J181" i="35"/>
  <c r="J185" i="35"/>
  <c r="J221" i="35"/>
  <c r="G223" i="35"/>
  <c r="J220" i="35"/>
  <c r="J218" i="35"/>
  <c r="I223" i="35"/>
  <c r="H223" i="35"/>
  <c r="F223" i="35"/>
  <c r="J217" i="35"/>
  <c r="J176" i="35"/>
  <c r="I151" i="35"/>
  <c r="I153" i="35" s="1"/>
  <c r="G151" i="35"/>
  <c r="G153" i="35" s="1"/>
  <c r="J130" i="35"/>
  <c r="D45" i="35" s="1"/>
  <c r="J148" i="35"/>
  <c r="F151" i="35"/>
  <c r="F153" i="35" s="1"/>
  <c r="H151" i="35"/>
  <c r="H153" i="35" s="1"/>
  <c r="E151" i="35"/>
  <c r="E153" i="35" s="1"/>
  <c r="J150" i="35"/>
  <c r="J147" i="35"/>
  <c r="J145" i="35"/>
  <c r="G13" i="18" l="1"/>
  <c r="C14" i="38"/>
  <c r="G75" i="61"/>
  <c r="H87" i="13"/>
  <c r="H84" i="13"/>
  <c r="G280" i="35"/>
  <c r="J209" i="35"/>
  <c r="D47" i="35"/>
  <c r="J211" i="35"/>
  <c r="J207" i="35"/>
  <c r="F213" i="35"/>
  <c r="J242" i="35"/>
  <c r="F231" i="35"/>
  <c r="F248" i="35"/>
  <c r="F232" i="35"/>
  <c r="J232" i="35" s="1"/>
  <c r="J243" i="35"/>
  <c r="J210" i="35"/>
  <c r="H248" i="35"/>
  <c r="H260" i="35" s="1"/>
  <c r="H231" i="35"/>
  <c r="H237" i="35" s="1"/>
  <c r="I231" i="35"/>
  <c r="I237" i="35" s="1"/>
  <c r="I248" i="35"/>
  <c r="I260" i="35" s="1"/>
  <c r="I213" i="35"/>
  <c r="F236" i="35"/>
  <c r="J236" i="35" s="1"/>
  <c r="J247" i="35"/>
  <c r="F194" i="35"/>
  <c r="J194" i="35" s="1"/>
  <c r="J245" i="35"/>
  <c r="F234" i="35"/>
  <c r="J234" i="35" s="1"/>
  <c r="F235" i="35"/>
  <c r="J235" i="35" s="1"/>
  <c r="J246" i="35"/>
  <c r="H213" i="35"/>
  <c r="F233" i="35"/>
  <c r="J233" i="35" s="1"/>
  <c r="J244" i="35"/>
  <c r="J212" i="35"/>
  <c r="J208" i="35"/>
  <c r="G231" i="35"/>
  <c r="G237" i="35" s="1"/>
  <c r="G248" i="35"/>
  <c r="G260" i="35" s="1"/>
  <c r="G213" i="35"/>
  <c r="E199" i="35"/>
  <c r="I197" i="35"/>
  <c r="I281" i="35"/>
  <c r="H198" i="35"/>
  <c r="H282" i="35"/>
  <c r="F197" i="35"/>
  <c r="F281" i="35"/>
  <c r="F198" i="35"/>
  <c r="F282" i="35"/>
  <c r="G197" i="35"/>
  <c r="G281" i="35"/>
  <c r="G198" i="35"/>
  <c r="F196" i="35"/>
  <c r="F280" i="35"/>
  <c r="H197" i="35"/>
  <c r="H281" i="35"/>
  <c r="I198" i="35"/>
  <c r="I282" i="35"/>
  <c r="H196" i="35"/>
  <c r="H280" i="35"/>
  <c r="J186" i="35"/>
  <c r="F188" i="35"/>
  <c r="J188" i="35" s="1"/>
  <c r="H286" i="35"/>
  <c r="H273" i="35" s="1"/>
  <c r="G286" i="35"/>
  <c r="G273" i="35" s="1"/>
  <c r="I286" i="35"/>
  <c r="I273" i="35" s="1"/>
  <c r="F286" i="35"/>
  <c r="H285" i="35"/>
  <c r="H272" i="35" s="1"/>
  <c r="G285" i="35"/>
  <c r="G272" i="35" s="1"/>
  <c r="I285" i="35"/>
  <c r="I272" i="35" s="1"/>
  <c r="F285" i="35"/>
  <c r="J296" i="35"/>
  <c r="E273" i="35"/>
  <c r="J273" i="35" s="1"/>
  <c r="J295" i="35"/>
  <c r="F195" i="35"/>
  <c r="J153" i="35"/>
  <c r="J151" i="35"/>
  <c r="J223" i="35"/>
  <c r="G14" i="18" l="1"/>
  <c r="C15" i="38"/>
  <c r="H88" i="13"/>
  <c r="J213" i="35"/>
  <c r="J231" i="35"/>
  <c r="F237" i="35"/>
  <c r="J237" i="35" s="1"/>
  <c r="J248" i="35"/>
  <c r="F260" i="35"/>
  <c r="J260" i="35" s="1"/>
  <c r="J198" i="35"/>
  <c r="E291" i="35"/>
  <c r="E268" i="35" s="1"/>
  <c r="E200" i="35"/>
  <c r="J197" i="35"/>
  <c r="J196" i="35"/>
  <c r="J281" i="35"/>
  <c r="J282" i="35"/>
  <c r="F272" i="35"/>
  <c r="J272" i="35" s="1"/>
  <c r="J285" i="35"/>
  <c r="J286" i="35"/>
  <c r="F273" i="35"/>
  <c r="J195" i="35"/>
  <c r="H90" i="13" l="1"/>
  <c r="E202" i="35"/>
  <c r="E294" i="35" s="1"/>
  <c r="E271" i="35" s="1"/>
  <c r="E292" i="35"/>
  <c r="E269" i="35" l="1"/>
  <c r="E274" i="35" s="1"/>
  <c r="E297" i="35"/>
  <c r="J297" i="35" l="1"/>
  <c r="E299" i="35"/>
  <c r="J299" i="35" s="1"/>
  <c r="E276" i="35"/>
  <c r="J274" i="35"/>
  <c r="J276" i="35" s="1"/>
  <c r="A44" i="41" l="1"/>
  <c r="A43" i="41"/>
  <c r="A50" i="41"/>
  <c r="A49" i="41"/>
  <c r="A48" i="41"/>
  <c r="A47" i="41"/>
  <c r="A46" i="41"/>
  <c r="E45" i="38" l="1"/>
  <c r="A160" i="61" l="1"/>
  <c r="A161" i="61"/>
  <c r="A162" i="61"/>
  <c r="A163" i="61"/>
  <c r="F15" i="46"/>
  <c r="F19" i="46" s="1"/>
  <c r="F18" i="46" s="1"/>
  <c r="F13" i="46"/>
  <c r="A40" i="38"/>
  <c r="F21" i="46" l="1"/>
  <c r="F36" i="46"/>
  <c r="F35" i="46"/>
  <c r="B246" i="62"/>
  <c r="B245" i="62"/>
  <c r="B244" i="62"/>
  <c r="B243" i="62"/>
  <c r="B239" i="62"/>
  <c r="B238" i="62"/>
  <c r="B237" i="62"/>
  <c r="B235" i="62"/>
  <c r="B236" i="62"/>
  <c r="F11" i="52" l="1"/>
  <c r="A15" i="45" l="1"/>
  <c r="C63" i="62"/>
  <c r="L13" i="46" l="1"/>
  <c r="K13" i="46"/>
  <c r="J13" i="46"/>
  <c r="I13" i="46"/>
  <c r="H13" i="46"/>
  <c r="G13" i="46"/>
  <c r="A13" i="46"/>
  <c r="A12" i="46"/>
  <c r="A22" i="45"/>
  <c r="A21" i="45"/>
  <c r="A20" i="45"/>
  <c r="A19" i="45"/>
  <c r="A18" i="45"/>
  <c r="A17" i="45"/>
  <c r="A41" i="45"/>
  <c r="A42" i="45"/>
  <c r="A43" i="45"/>
  <c r="A44" i="45"/>
  <c r="A45" i="45"/>
  <c r="A46" i="45"/>
  <c r="A66" i="41"/>
  <c r="A65" i="41"/>
  <c r="A64" i="41"/>
  <c r="A63" i="41"/>
  <c r="A62" i="41"/>
  <c r="A61" i="41"/>
  <c r="A60" i="41"/>
  <c r="A59" i="41"/>
  <c r="A58" i="41"/>
  <c r="A57" i="41"/>
  <c r="A45" i="41"/>
  <c r="A42" i="41"/>
  <c r="A41" i="41"/>
  <c r="A40" i="41"/>
  <c r="A39" i="41"/>
  <c r="A38" i="41"/>
  <c r="A37" i="41"/>
  <c r="A36" i="41"/>
  <c r="A35" i="41"/>
  <c r="A77" i="45" l="1"/>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0" i="45"/>
  <c r="A39" i="45"/>
  <c r="A38" i="45"/>
  <c r="A37" i="45"/>
  <c r="A36" i="45"/>
  <c r="A35" i="45"/>
  <c r="A34" i="45"/>
  <c r="A33" i="45"/>
  <c r="A32" i="45"/>
  <c r="A31" i="45"/>
  <c r="A30" i="45"/>
  <c r="A29" i="45"/>
  <c r="A28" i="45"/>
  <c r="A27" i="45"/>
  <c r="A26" i="45"/>
  <c r="A25" i="45"/>
  <c r="A24" i="45"/>
  <c r="A23" i="45"/>
  <c r="A16" i="45"/>
  <c r="A14" i="45"/>
  <c r="A13" i="45"/>
  <c r="A12" i="45"/>
  <c r="A29" i="39"/>
  <c r="A28" i="39"/>
  <c r="A27" i="39"/>
  <c r="A26" i="39"/>
  <c r="A25" i="39"/>
  <c r="A24" i="39"/>
  <c r="A23" i="39"/>
  <c r="A22" i="39"/>
  <c r="A21" i="39"/>
  <c r="A20" i="39"/>
  <c r="A19" i="39"/>
  <c r="A18" i="39"/>
  <c r="A17" i="39"/>
  <c r="A16" i="39"/>
  <c r="A15" i="39"/>
  <c r="A14" i="39"/>
  <c r="A13" i="39"/>
  <c r="A12" i="39"/>
  <c r="A11" i="39"/>
  <c r="A10" i="39"/>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7" i="46"/>
  <c r="A16" i="46"/>
  <c r="A15" i="46"/>
  <c r="A14" i="46"/>
  <c r="A11" i="46"/>
  <c r="A10" i="46"/>
  <c r="A9" i="46"/>
  <c r="B28" i="52"/>
  <c r="B27" i="52"/>
  <c r="B26" i="52"/>
  <c r="B24" i="52"/>
  <c r="B23" i="52"/>
  <c r="B22" i="52"/>
  <c r="B21" i="52"/>
  <c r="B20" i="52"/>
  <c r="B19" i="52"/>
  <c r="B18" i="52"/>
  <c r="B17" i="52"/>
  <c r="B16" i="52"/>
  <c r="B15" i="52"/>
  <c r="B14" i="52"/>
  <c r="B13" i="52"/>
  <c r="B12" i="52"/>
  <c r="B11" i="52"/>
  <c r="B10" i="52"/>
  <c r="B9" i="52"/>
  <c r="A26" i="66"/>
  <c r="A25" i="66"/>
  <c r="A24" i="66"/>
  <c r="A23" i="66"/>
  <c r="A22" i="66"/>
  <c r="A21" i="66"/>
  <c r="A20" i="66"/>
  <c r="A19" i="66"/>
  <c r="A18" i="66"/>
  <c r="A17" i="66"/>
  <c r="A16" i="66"/>
  <c r="A15" i="66"/>
  <c r="A14" i="66"/>
  <c r="A13" i="66"/>
  <c r="A12" i="66"/>
  <c r="A11" i="66"/>
  <c r="A10" i="66"/>
  <c r="A9" i="66"/>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31" i="41"/>
  <c r="A30" i="41"/>
  <c r="A29" i="41"/>
  <c r="A28" i="41"/>
  <c r="A27" i="41"/>
  <c r="A26" i="41"/>
  <c r="A25" i="41"/>
  <c r="A24" i="41"/>
  <c r="A23" i="41"/>
  <c r="A22" i="41"/>
  <c r="A21" i="41"/>
  <c r="A20" i="41"/>
  <c r="A19" i="41"/>
  <c r="A18" i="41"/>
  <c r="A17" i="41"/>
  <c r="A16" i="41"/>
  <c r="A15" i="41"/>
  <c r="A14" i="41"/>
  <c r="A13" i="41"/>
  <c r="A12" i="41"/>
  <c r="A11" i="41"/>
  <c r="A10" i="41"/>
  <c r="A44" i="38"/>
  <c r="A43" i="38"/>
  <c r="A42" i="38"/>
  <c r="A41"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59" i="61"/>
  <c r="A158" i="61"/>
  <c r="A157" i="61"/>
  <c r="A156" i="61"/>
  <c r="A155" i="61"/>
  <c r="A154" i="61"/>
  <c r="A153" i="61"/>
  <c r="A152" i="61"/>
  <c r="A151" i="61"/>
  <c r="A150" i="61"/>
  <c r="A149" i="61"/>
  <c r="A148" i="61"/>
  <c r="A147" i="61"/>
  <c r="A146" i="61"/>
  <c r="A145" i="61"/>
  <c r="A144" i="61"/>
  <c r="A143" i="61"/>
  <c r="A142" i="61"/>
  <c r="A141" i="61"/>
  <c r="A140" i="61"/>
  <c r="A139" i="61"/>
  <c r="A138" i="61"/>
  <c r="A137" i="61"/>
  <c r="A136" i="61"/>
  <c r="A135" i="61"/>
  <c r="A134" i="61"/>
  <c r="A133" i="61"/>
  <c r="A132" i="61"/>
  <c r="A131" i="61"/>
  <c r="A130" i="61"/>
  <c r="A129" i="61"/>
  <c r="A128" i="61"/>
  <c r="A127" i="61"/>
  <c r="A126" i="61"/>
  <c r="A125" i="61"/>
  <c r="A124" i="61"/>
  <c r="A123" i="61"/>
  <c r="A122" i="61"/>
  <c r="A121" i="61"/>
  <c r="A120" i="61"/>
  <c r="A119" i="61"/>
  <c r="A118" i="61"/>
  <c r="A117" i="61"/>
  <c r="A116" i="61"/>
  <c r="A115" i="61"/>
  <c r="A114" i="61"/>
  <c r="A113" i="61"/>
  <c r="A112" i="61"/>
  <c r="A111" i="61"/>
  <c r="A110" i="61"/>
  <c r="A109" i="61"/>
  <c r="A108" i="61"/>
  <c r="A107" i="61"/>
  <c r="A106" i="61"/>
  <c r="A105" i="61"/>
  <c r="A104" i="61"/>
  <c r="A103" i="61"/>
  <c r="A102" i="61"/>
  <c r="A101" i="61"/>
  <c r="A100" i="61"/>
  <c r="A99" i="61"/>
  <c r="A98" i="61"/>
  <c r="A97" i="61"/>
  <c r="A96" i="61"/>
  <c r="A95" i="61"/>
  <c r="A94" i="61"/>
  <c r="A93" i="61"/>
  <c r="A92" i="61"/>
  <c r="A91" i="61"/>
  <c r="A90" i="61"/>
  <c r="A89" i="61"/>
  <c r="A88" i="61"/>
  <c r="A87" i="61"/>
  <c r="A86" i="61"/>
  <c r="A85" i="61"/>
  <c r="A84" i="61"/>
  <c r="A83" i="61"/>
  <c r="A82" i="61"/>
  <c r="A81" i="61"/>
  <c r="A80" i="61"/>
  <c r="A79" i="61"/>
  <c r="A78"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45" i="62"/>
  <c r="A444" i="62"/>
  <c r="A443" i="62"/>
  <c r="A442" i="62"/>
  <c r="A441" i="62"/>
  <c r="A440" i="62"/>
  <c r="A439" i="62"/>
  <c r="A438" i="62"/>
  <c r="A437" i="62"/>
  <c r="A436" i="62"/>
  <c r="A435" i="62"/>
  <c r="A434" i="62"/>
  <c r="A433" i="62"/>
  <c r="A432" i="62"/>
  <c r="A43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9" i="62"/>
  <c r="A298" i="62"/>
  <c r="A297"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7" i="62"/>
  <c r="A256" i="62"/>
  <c r="A255" i="62"/>
  <c r="A254" i="62"/>
  <c r="A253" i="62"/>
  <c r="A252" i="62"/>
  <c r="A251" i="62"/>
  <c r="A250" i="62"/>
  <c r="A249" i="62"/>
  <c r="A248" i="62"/>
  <c r="A247" i="62"/>
  <c r="A246"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4" i="62"/>
  <c r="A133" i="62"/>
  <c r="A132" i="62"/>
  <c r="A131" i="62"/>
  <c r="A130" i="62"/>
  <c r="A129" i="62"/>
  <c r="A128" i="62"/>
  <c r="A127" i="62"/>
  <c r="A126" i="62"/>
  <c r="A125" i="62"/>
  <c r="A124" i="62"/>
  <c r="A123" i="62"/>
  <c r="A122" i="62"/>
  <c r="A121" i="62"/>
  <c r="A120" i="62"/>
  <c r="A119" i="62"/>
  <c r="A118" i="62"/>
  <c r="A117" i="62"/>
  <c r="A116" i="62"/>
  <c r="A115" i="62"/>
  <c r="A114" i="62"/>
  <c r="A113" i="62"/>
  <c r="A112" i="62"/>
  <c r="A111" i="62"/>
  <c r="A110" i="62"/>
  <c r="A109" i="62"/>
  <c r="A108" i="62"/>
  <c r="A107"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80" i="62"/>
  <c r="A79" i="62"/>
  <c r="A78" i="62"/>
  <c r="A77"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4" i="62"/>
  <c r="A33" i="62"/>
  <c r="A32" i="62"/>
  <c r="A31" i="62"/>
  <c r="A30" i="62"/>
  <c r="A29" i="62"/>
  <c r="A28" i="62"/>
  <c r="A27" i="62"/>
  <c r="A26" i="62"/>
  <c r="A25" i="62"/>
  <c r="A24" i="62"/>
  <c r="A23" i="62"/>
  <c r="A22" i="62"/>
  <c r="A21" i="62"/>
  <c r="A20" i="62"/>
  <c r="A19" i="62"/>
  <c r="A18" i="62"/>
  <c r="A17" i="62"/>
  <c r="A16" i="62"/>
  <c r="A15" i="62"/>
  <c r="A14" i="62"/>
  <c r="A12" i="34" l="1"/>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1" i="34"/>
  <c r="A10" i="34"/>
  <c r="A110" i="13" l="1"/>
  <c r="A109" i="13"/>
  <c r="A108" i="13"/>
  <c r="A107" i="13"/>
  <c r="A106" i="13"/>
  <c r="A105" i="13"/>
  <c r="A104" i="13"/>
  <c r="A103" i="13"/>
  <c r="A102" i="13"/>
  <c r="A101" i="13"/>
  <c r="A100" i="13"/>
  <c r="A99" i="13"/>
  <c r="A98" i="13"/>
  <c r="A97" i="13"/>
  <c r="A96" i="13"/>
  <c r="A95" i="13"/>
  <c r="A94" i="13"/>
  <c r="A93" i="13"/>
  <c r="A92" i="13"/>
  <c r="A91" i="13"/>
  <c r="A90" i="13"/>
  <c r="A80" i="13"/>
  <c r="A79" i="13"/>
  <c r="A78" i="13"/>
  <c r="A77" i="13"/>
  <c r="A76" i="13"/>
  <c r="A75" i="13"/>
  <c r="A74"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E22" i="47" l="1"/>
  <c r="G73" i="62" l="1"/>
  <c r="G66" i="61" l="1"/>
  <c r="H66" i="61"/>
  <c r="I66" i="61"/>
  <c r="M34" i="13"/>
  <c r="M90" i="13" s="1"/>
  <c r="L34" i="13"/>
  <c r="L90" i="13" s="1"/>
  <c r="K34" i="13"/>
  <c r="K90" i="13" s="1"/>
  <c r="J34" i="13"/>
  <c r="J90" i="13" s="1"/>
  <c r="H96" i="13"/>
  <c r="I34" i="13"/>
  <c r="I90" i="13" s="1"/>
  <c r="A2" i="63"/>
  <c r="A4" i="63"/>
  <c r="M43" i="13" l="1"/>
  <c r="M46" i="13"/>
  <c r="M44" i="13"/>
  <c r="M45" i="13"/>
  <c r="M81" i="13"/>
  <c r="K45" i="13"/>
  <c r="L56" i="13" s="1"/>
  <c r="K44" i="13"/>
  <c r="L55" i="13" s="1"/>
  <c r="K46" i="13"/>
  <c r="L57" i="13" s="1"/>
  <c r="K43" i="13"/>
  <c r="K81" i="13"/>
  <c r="I81" i="13"/>
  <c r="I45" i="13"/>
  <c r="J56" i="13" s="1"/>
  <c r="I44" i="13"/>
  <c r="J55" i="13" s="1"/>
  <c r="I46" i="13"/>
  <c r="J57" i="13" s="1"/>
  <c r="I43" i="13"/>
  <c r="J54" i="13" s="1"/>
  <c r="L43" i="13"/>
  <c r="M54" i="13" s="1"/>
  <c r="L44" i="13"/>
  <c r="L46" i="13"/>
  <c r="M57" i="13" s="1"/>
  <c r="L45" i="13"/>
  <c r="M56" i="13" s="1"/>
  <c r="L81" i="13"/>
  <c r="J43" i="13"/>
  <c r="K54" i="13" s="1"/>
  <c r="J46" i="13"/>
  <c r="K57" i="13" s="1"/>
  <c r="J44" i="13"/>
  <c r="K55" i="13" s="1"/>
  <c r="J45" i="13"/>
  <c r="J81" i="13"/>
  <c r="H94" i="13"/>
  <c r="H98" i="13"/>
  <c r="H93" i="13"/>
  <c r="H97" i="13"/>
  <c r="H92" i="13"/>
  <c r="M99" i="13" l="1"/>
  <c r="J99" i="13"/>
  <c r="K99" i="13"/>
  <c r="I47" i="13"/>
  <c r="I48" i="13" s="1"/>
  <c r="M47" i="13"/>
  <c r="M48" i="13" s="1"/>
  <c r="L47" i="13"/>
  <c r="L48" i="13" s="1"/>
  <c r="M55" i="13"/>
  <c r="J47" i="13"/>
  <c r="J48" i="13" s="1"/>
  <c r="K56" i="13"/>
  <c r="K47" i="13"/>
  <c r="K48" i="13" s="1"/>
  <c r="L54" i="13"/>
  <c r="M441" i="62"/>
  <c r="M23" i="62" s="1"/>
  <c r="L441" i="62"/>
  <c r="L23" i="62" s="1"/>
  <c r="K441" i="62"/>
  <c r="K23" i="62" s="1"/>
  <c r="H441" i="62"/>
  <c r="H23" i="62" s="1"/>
  <c r="G441" i="62"/>
  <c r="G23" i="62" s="1"/>
  <c r="L58" i="13" l="1"/>
  <c r="L83" i="13" s="1"/>
  <c r="L84" i="13" s="1"/>
  <c r="L49" i="13"/>
  <c r="M58" i="13"/>
  <c r="M83" i="13" s="1"/>
  <c r="M49" i="13"/>
  <c r="J58" i="13"/>
  <c r="J83" i="13" s="1"/>
  <c r="J84" i="13" s="1"/>
  <c r="J49" i="13"/>
  <c r="K58" i="13"/>
  <c r="K83" i="13" s="1"/>
  <c r="K49" i="13"/>
  <c r="I58" i="13"/>
  <c r="I49" i="13"/>
  <c r="L99" i="13"/>
  <c r="L54" i="18"/>
  <c r="K54" i="18"/>
  <c r="J54" i="18"/>
  <c r="I54" i="18"/>
  <c r="H54" i="18"/>
  <c r="G54" i="18"/>
  <c r="F54" i="18"/>
  <c r="J85" i="13" l="1"/>
  <c r="J86" i="13" s="1"/>
  <c r="I83" i="13"/>
  <c r="I84" i="13" s="1"/>
  <c r="K85" i="13"/>
  <c r="K86" i="13" s="1"/>
  <c r="M85" i="13"/>
  <c r="M86" i="13" s="1"/>
  <c r="L85" i="13"/>
  <c r="L86" i="13" s="1"/>
  <c r="M84" i="13"/>
  <c r="K84" i="13"/>
  <c r="C45" i="38"/>
  <c r="D45" i="38" s="1"/>
  <c r="A47" i="38"/>
  <c r="A48" i="38"/>
  <c r="A49" i="38"/>
  <c r="I13" i="18" l="1"/>
  <c r="J87" i="13"/>
  <c r="I14" i="18" s="1"/>
  <c r="I75" i="61"/>
  <c r="K13" i="18"/>
  <c r="K75" i="61"/>
  <c r="L13" i="18"/>
  <c r="L75" i="61"/>
  <c r="J13" i="18"/>
  <c r="J75" i="61"/>
  <c r="I85" i="13"/>
  <c r="I86" i="13" s="1"/>
  <c r="L87" i="13"/>
  <c r="K14" i="18" s="1"/>
  <c r="M87" i="13"/>
  <c r="L14" i="18" s="1"/>
  <c r="K87" i="13"/>
  <c r="J14" i="18" s="1"/>
  <c r="F123" i="38"/>
  <c r="J88" i="13" l="1"/>
  <c r="H13" i="18"/>
  <c r="H75" i="61"/>
  <c r="M88" i="13"/>
  <c r="L88" i="13"/>
  <c r="K88" i="13"/>
  <c r="I87" i="13"/>
  <c r="H14" i="18" s="1"/>
  <c r="J441" i="62"/>
  <c r="J23" i="62" s="1"/>
  <c r="I441" i="62"/>
  <c r="I23" i="62" s="1"/>
  <c r="I88" i="13" l="1"/>
  <c r="D44" i="18"/>
  <c r="L27" i="18"/>
  <c r="L112" i="18" s="1"/>
  <c r="K27" i="18"/>
  <c r="K112" i="18" s="1"/>
  <c r="J27" i="18"/>
  <c r="I27" i="18"/>
  <c r="H27" i="18"/>
  <c r="H112" i="18" s="1"/>
  <c r="G27" i="18"/>
  <c r="G112" i="18" s="1"/>
  <c r="F27" i="18"/>
  <c r="F112" i="18" s="1"/>
  <c r="C108" i="13"/>
  <c r="C107" i="13"/>
  <c r="C106" i="13"/>
  <c r="C105" i="13"/>
  <c r="C104" i="13"/>
  <c r="C103" i="13"/>
  <c r="C101" i="13"/>
  <c r="C100" i="13"/>
  <c r="F144" i="61"/>
  <c r="F146" i="61" s="1"/>
  <c r="D27" i="18" l="1"/>
  <c r="I112" i="18"/>
  <c r="J112" i="18"/>
  <c r="C27" i="18"/>
  <c r="C50" i="18"/>
  <c r="F159" i="61" l="1"/>
  <c r="L159" i="61"/>
  <c r="L89" i="61" s="1"/>
  <c r="K159" i="61"/>
  <c r="K89" i="61" s="1"/>
  <c r="J159" i="61"/>
  <c r="J89" i="61" s="1"/>
  <c r="I159" i="61"/>
  <c r="I89" i="61" s="1"/>
  <c r="H159" i="61"/>
  <c r="G159" i="61"/>
  <c r="G89" i="61" l="1"/>
  <c r="C39" i="38"/>
  <c r="C159" i="61"/>
  <c r="H89" i="61"/>
  <c r="A4" i="66"/>
  <c r="F129" i="18" l="1"/>
  <c r="G29" i="46" l="1"/>
  <c r="G32" i="46"/>
  <c r="G30" i="46"/>
  <c r="G28" i="46"/>
  <c r="G23" i="46"/>
  <c r="G27" i="46"/>
  <c r="H27" i="46" s="1"/>
  <c r="I27" i="46" s="1"/>
  <c r="J27" i="46" s="1"/>
  <c r="K27" i="46" s="1"/>
  <c r="L27" i="46" s="1"/>
  <c r="E27" i="46" s="1"/>
  <c r="G26" i="46"/>
  <c r="H26" i="46" s="1"/>
  <c r="I26" i="46" s="1"/>
  <c r="J26" i="46" s="1"/>
  <c r="K26" i="46" s="1"/>
  <c r="L26" i="46" s="1"/>
  <c r="E26" i="46" l="1"/>
  <c r="E7" i="39"/>
  <c r="I12" i="48"/>
  <c r="H10" i="13"/>
  <c r="F10" i="45" s="1"/>
  <c r="H11" i="13" l="1"/>
  <c r="Q127" i="38"/>
  <c r="P127" i="38"/>
  <c r="O127" i="38"/>
  <c r="N127" i="38"/>
  <c r="M127" i="38"/>
  <c r="L127" i="38"/>
  <c r="K127" i="38"/>
  <c r="J127" i="38"/>
  <c r="I127" i="38"/>
  <c r="H127" i="38"/>
  <c r="G127" i="38"/>
  <c r="F127"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6" i="38"/>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I10" i="13" l="1"/>
  <c r="I11" i="13" s="1"/>
  <c r="G15" i="41"/>
  <c r="J10" i="13" l="1"/>
  <c r="J11" i="13" s="1"/>
  <c r="E14" i="41"/>
  <c r="F15" i="4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5" i="47" a="1"/>
  <c r="AJ25"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8" i="47" a="1"/>
  <c r="AJ8" i="47" s="1"/>
  <c r="AJ7" i="47" a="1"/>
  <c r="AJ7" i="47" s="1"/>
  <c r="AJ6" i="47" a="1"/>
  <c r="AJ6" i="47" s="1"/>
  <c r="AJ5" i="47" a="1"/>
  <c r="AJ5" i="47" s="1"/>
  <c r="AJ4" i="47" a="1"/>
  <c r="AJ4" i="47" s="1"/>
  <c r="AJ3" i="47" a="1"/>
  <c r="AJ3" i="47" s="1"/>
  <c r="AJ2" i="47" a="1"/>
  <c r="AJ2" i="47" s="1"/>
  <c r="AJ1" i="47" a="1"/>
  <c r="AJ1"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5" i="47" a="1"/>
  <c r="AI25"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8" i="47" a="1"/>
  <c r="AI8" i="47" s="1"/>
  <c r="AI7" i="47" a="1"/>
  <c r="AI7" i="47" s="1"/>
  <c r="AI6" i="47" a="1"/>
  <c r="AI6" i="47" s="1"/>
  <c r="AI5" i="47" a="1"/>
  <c r="AI5" i="47" s="1"/>
  <c r="AI4" i="47" a="1"/>
  <c r="AI4" i="47" s="1"/>
  <c r="AI3" i="47" a="1"/>
  <c r="AI3" i="47" s="1"/>
  <c r="AI2" i="47" a="1"/>
  <c r="AI2" i="47" s="1"/>
  <c r="AI1" i="47" a="1"/>
  <c r="AI1"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5" i="47" a="1"/>
  <c r="AH25"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8" i="47" a="1"/>
  <c r="AH8" i="47" s="1"/>
  <c r="AH7" i="47" a="1"/>
  <c r="AH7" i="47" s="1"/>
  <c r="AH6" i="47" a="1"/>
  <c r="AH6" i="47" s="1"/>
  <c r="AH5" i="47" a="1"/>
  <c r="AH5" i="47" s="1"/>
  <c r="AH4" i="47" a="1"/>
  <c r="AH4" i="47" s="1"/>
  <c r="AH3" i="47" a="1"/>
  <c r="AH3" i="47" s="1"/>
  <c r="AH2" i="47" a="1"/>
  <c r="AH2" i="47" s="1"/>
  <c r="AH1" i="47" a="1"/>
  <c r="AH1"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5" i="47" a="1"/>
  <c r="AG25"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8" i="47" a="1"/>
  <c r="AG8" i="47" s="1"/>
  <c r="AG7" i="47" a="1"/>
  <c r="AG7" i="47" s="1"/>
  <c r="AG6" i="47" a="1"/>
  <c r="AG6" i="47" s="1"/>
  <c r="AG5" i="47" a="1"/>
  <c r="AG5" i="47" s="1"/>
  <c r="AG4" i="47" a="1"/>
  <c r="AG4" i="47" s="1"/>
  <c r="AG3" i="47" a="1"/>
  <c r="AG3" i="47" s="1"/>
  <c r="AG2" i="47" a="1"/>
  <c r="AG2" i="47" s="1"/>
  <c r="AG1" i="47" a="1"/>
  <c r="AG1"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5" i="47" a="1"/>
  <c r="AF25"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8" i="47" a="1"/>
  <c r="AF8" i="47" s="1"/>
  <c r="AF7" i="47" a="1"/>
  <c r="AF7" i="47" s="1"/>
  <c r="AF6" i="47" a="1"/>
  <c r="AF6" i="47" s="1"/>
  <c r="AF5" i="47" a="1"/>
  <c r="AF5" i="47" s="1"/>
  <c r="AF4" i="47" a="1"/>
  <c r="AF4" i="47" s="1"/>
  <c r="AF3" i="47" a="1"/>
  <c r="AF3" i="47" s="1"/>
  <c r="AF2" i="47" a="1"/>
  <c r="AF2" i="47" s="1"/>
  <c r="AF1" i="47" a="1"/>
  <c r="AF1"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5" i="47" a="1"/>
  <c r="AE25"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8" i="47" a="1"/>
  <c r="AE8" i="47" s="1"/>
  <c r="AE7" i="47" a="1"/>
  <c r="AE7" i="47" s="1"/>
  <c r="AE6" i="47" a="1"/>
  <c r="AE6" i="47" s="1"/>
  <c r="AE5" i="47" a="1"/>
  <c r="AE5" i="47" s="1"/>
  <c r="AE4" i="47" a="1"/>
  <c r="AE4" i="47" s="1"/>
  <c r="AE3" i="47" a="1"/>
  <c r="AE3" i="47" s="1"/>
  <c r="AE2" i="47" a="1"/>
  <c r="AE2" i="47" s="1"/>
  <c r="AE1" i="47" a="1"/>
  <c r="AE1"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5" i="47" a="1"/>
  <c r="AD25"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8" i="47" a="1"/>
  <c r="AD8" i="47" s="1"/>
  <c r="AD7" i="47" a="1"/>
  <c r="AD7" i="47" s="1"/>
  <c r="AD6" i="47" a="1"/>
  <c r="AD6" i="47" s="1"/>
  <c r="AD5" i="47" a="1"/>
  <c r="AD5" i="47" s="1"/>
  <c r="AD4" i="47" a="1"/>
  <c r="AD4" i="47" s="1"/>
  <c r="AD3" i="47" a="1"/>
  <c r="AD3" i="47" s="1"/>
  <c r="AD2" i="47" a="1"/>
  <c r="AD2" i="47" s="1"/>
  <c r="AD1" i="47" a="1"/>
  <c r="AD1"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5" i="47" a="1"/>
  <c r="AC25"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8" i="47" a="1"/>
  <c r="AC8" i="47" s="1"/>
  <c r="AC7" i="47" a="1"/>
  <c r="AC7" i="47" s="1"/>
  <c r="AC6" i="47" a="1"/>
  <c r="AC6" i="47" s="1"/>
  <c r="AC5" i="47" a="1"/>
  <c r="AC5" i="47" s="1"/>
  <c r="AC4" i="47" a="1"/>
  <c r="AC4" i="47" s="1"/>
  <c r="AC3" i="47" a="1"/>
  <c r="AC3" i="47" s="1"/>
  <c r="AC2" i="47" a="1"/>
  <c r="AC2" i="47" s="1"/>
  <c r="AC1" i="47" a="1"/>
  <c r="AC1"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5" i="47" a="1"/>
  <c r="AB25" i="47" s="1"/>
  <c r="AA25" i="47" a="1"/>
  <c r="AA25" i="47" s="1"/>
  <c r="Z25" i="47" a="1"/>
  <c r="Z25" i="47" s="1"/>
  <c r="Y25" i="47" a="1"/>
  <c r="Y25"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8" i="47" a="1"/>
  <c r="AB8" i="47" s="1"/>
  <c r="AA8" i="47" a="1"/>
  <c r="AA8" i="47" s="1"/>
  <c r="Z8" i="47" a="1"/>
  <c r="Z8" i="47" s="1"/>
  <c r="Y8" i="47" a="1"/>
  <c r="Y8"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K10" i="13" l="1"/>
  <c r="K11" i="13" s="1"/>
  <c r="A2" i="36"/>
  <c r="A4" i="36"/>
  <c r="G42" i="62"/>
  <c r="F52" i="61"/>
  <c r="F64" i="34"/>
  <c r="B79" i="46"/>
  <c r="B80" i="46"/>
  <c r="B81" i="46"/>
  <c r="B82" i="46"/>
  <c r="B76" i="46"/>
  <c r="F76" i="46"/>
  <c r="B77" i="46"/>
  <c r="B78" i="46"/>
  <c r="E75" i="46"/>
  <c r="L10" i="13" l="1"/>
  <c r="L11" i="13" s="1"/>
  <c r="A396" i="35"/>
  <c r="A397" i="35"/>
  <c r="A398" i="35"/>
  <c r="A399" i="35"/>
  <c r="A400" i="35"/>
  <c r="A401" i="35"/>
  <c r="A402" i="35"/>
  <c r="A403" i="35"/>
  <c r="A404" i="35"/>
  <c r="A405" i="35"/>
  <c r="A406" i="35"/>
  <c r="A407" i="35"/>
  <c r="A408" i="35"/>
  <c r="A409" i="35"/>
  <c r="A410" i="35"/>
  <c r="A411" i="35"/>
  <c r="A395" i="35"/>
  <c r="A2" i="66"/>
  <c r="M10" i="13" l="1"/>
  <c r="M11" i="13" s="1"/>
  <c r="I32" i="63"/>
  <c r="C6" i="63"/>
  <c r="F73" i="46" s="1"/>
  <c r="D6" i="63"/>
  <c r="G73" i="46" s="1"/>
  <c r="E33" i="46" l="1"/>
  <c r="H28" i="46" l="1"/>
  <c r="H29" i="46"/>
  <c r="H30" i="46"/>
  <c r="H23" i="46"/>
  <c r="L40" i="6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I30" i="46" l="1"/>
  <c r="I23" i="46"/>
  <c r="I29" i="46"/>
  <c r="I28" i="46"/>
  <c r="K11" i="46" l="1"/>
  <c r="J23" i="46"/>
  <c r="J29" i="46"/>
  <c r="J28" i="46"/>
  <c r="J30" i="46"/>
  <c r="C128" i="61"/>
  <c r="C130" i="61" s="1"/>
  <c r="C132" i="61" s="1"/>
  <c r="G67" i="61"/>
  <c r="H67" i="61"/>
  <c r="I67" i="61"/>
  <c r="J67" i="61"/>
  <c r="K67" i="61"/>
  <c r="L67" i="61"/>
  <c r="G83" i="61"/>
  <c r="H83" i="61"/>
  <c r="I83" i="61"/>
  <c r="J83" i="61"/>
  <c r="K83" i="61"/>
  <c r="L83" i="61"/>
  <c r="G86" i="61"/>
  <c r="H86" i="61"/>
  <c r="I86" i="61"/>
  <c r="J86" i="61"/>
  <c r="K86" i="61"/>
  <c r="L86" i="61"/>
  <c r="G88" i="61"/>
  <c r="H88" i="61"/>
  <c r="I88" i="61"/>
  <c r="J88" i="61"/>
  <c r="K88" i="61"/>
  <c r="L88" i="61"/>
  <c r="G96" i="61"/>
  <c r="H96" i="61"/>
  <c r="I96" i="61"/>
  <c r="J96" i="61"/>
  <c r="K96" i="61"/>
  <c r="L96" i="61"/>
  <c r="H100" i="61"/>
  <c r="I100" i="61"/>
  <c r="J100" i="61"/>
  <c r="K100" i="61"/>
  <c r="L100" i="61"/>
  <c r="F102" i="61"/>
  <c r="F103" i="61" s="1"/>
  <c r="G106" i="61"/>
  <c r="H106" i="61"/>
  <c r="I106" i="61"/>
  <c r="J106" i="61" s="1"/>
  <c r="K106" i="61" s="1"/>
  <c r="G108" i="61"/>
  <c r="H108" i="61"/>
  <c r="I108" i="61" s="1"/>
  <c r="J108" i="61" s="1"/>
  <c r="K108" i="61" s="1"/>
  <c r="F110" i="61"/>
  <c r="G115" i="61"/>
  <c r="H115" i="61"/>
  <c r="I115" i="61"/>
  <c r="J115" i="61"/>
  <c r="K115" i="61"/>
  <c r="L115" i="61"/>
  <c r="G116" i="61"/>
  <c r="H116" i="61"/>
  <c r="I116" i="61"/>
  <c r="J116" i="61"/>
  <c r="K116" i="61"/>
  <c r="L116" i="61"/>
  <c r="F118" i="61"/>
  <c r="G8" i="62"/>
  <c r="G44" i="62" s="1"/>
  <c r="H8" i="62"/>
  <c r="H44" i="62" s="1"/>
  <c r="C53" i="62"/>
  <c r="B234" i="62"/>
  <c r="B242" i="62"/>
  <c r="B249" i="62"/>
  <c r="B252" i="62"/>
  <c r="B253" i="62"/>
  <c r="B254" i="62"/>
  <c r="B255" i="62"/>
  <c r="B256" i="62"/>
  <c r="B257" i="62"/>
  <c r="B258" i="62"/>
  <c r="B259" i="62"/>
  <c r="B260" i="62"/>
  <c r="B261" i="62"/>
  <c r="B262" i="62"/>
  <c r="B264" i="62"/>
  <c r="B265" i="62"/>
  <c r="B266" i="62"/>
  <c r="B267" i="62"/>
  <c r="B268" i="62"/>
  <c r="B269" i="62"/>
  <c r="B270" i="62"/>
  <c r="B271" i="62"/>
  <c r="B272" i="62"/>
  <c r="B273" i="62"/>
  <c r="B274" i="62"/>
  <c r="B276" i="62"/>
  <c r="B277" i="62"/>
  <c r="B278" i="62"/>
  <c r="B279" i="62"/>
  <c r="B280" i="62"/>
  <c r="B281" i="62"/>
  <c r="B282" i="62"/>
  <c r="B283" i="62"/>
  <c r="B284" i="62"/>
  <c r="B285" i="62"/>
  <c r="B286" i="62"/>
  <c r="B288" i="62"/>
  <c r="B289" i="62"/>
  <c r="B290" i="62"/>
  <c r="C291" i="62"/>
  <c r="B292" i="62"/>
  <c r="B293" i="62"/>
  <c r="B294" i="62"/>
  <c r="B295" i="62"/>
  <c r="B296" i="62"/>
  <c r="C297" i="62"/>
  <c r="B298" i="62"/>
  <c r="B299" i="62"/>
  <c r="B300" i="62"/>
  <c r="B301" i="62"/>
  <c r="B302" i="62"/>
  <c r="C303" i="62"/>
  <c r="B304" i="62"/>
  <c r="B305" i="62"/>
  <c r="B306" i="62"/>
  <c r="B307" i="62"/>
  <c r="B308" i="62"/>
  <c r="C309" i="62"/>
  <c r="B310" i="62"/>
  <c r="B311" i="62"/>
  <c r="B312" i="62"/>
  <c r="B313" i="62"/>
  <c r="B314" i="62"/>
  <c r="C315" i="62"/>
  <c r="B316" i="62"/>
  <c r="B317" i="62"/>
  <c r="B318" i="62"/>
  <c r="B319" i="62"/>
  <c r="B320" i="62"/>
  <c r="C321" i="62"/>
  <c r="B322" i="62"/>
  <c r="B323" i="62"/>
  <c r="B324" i="62"/>
  <c r="B325" i="62"/>
  <c r="B326" i="62"/>
  <c r="C327" i="62"/>
  <c r="B328" i="62"/>
  <c r="B329" i="62"/>
  <c r="B330" i="62"/>
  <c r="B331" i="62"/>
  <c r="B332" i="62"/>
  <c r="C333" i="62"/>
  <c r="B334" i="62"/>
  <c r="B335" i="62"/>
  <c r="B336" i="62"/>
  <c r="B337" i="62"/>
  <c r="B338" i="62"/>
  <c r="B339" i="62"/>
  <c r="C340" i="62"/>
  <c r="B341" i="62"/>
  <c r="B342" i="62"/>
  <c r="B343" i="62"/>
  <c r="B344" i="62"/>
  <c r="B345" i="62"/>
  <c r="C346" i="62"/>
  <c r="B347" i="62"/>
  <c r="B348" i="62"/>
  <c r="B349" i="62"/>
  <c r="B350" i="62"/>
  <c r="B351" i="62"/>
  <c r="C352" i="62"/>
  <c r="B353" i="62"/>
  <c r="B354" i="62"/>
  <c r="B355" i="62"/>
  <c r="B356" i="62"/>
  <c r="B357" i="62"/>
  <c r="C358" i="62"/>
  <c r="B359" i="62"/>
  <c r="B360" i="62"/>
  <c r="B361" i="62"/>
  <c r="B362" i="62"/>
  <c r="B363" i="62"/>
  <c r="C364" i="62"/>
  <c r="B365" i="62"/>
  <c r="B366" i="62"/>
  <c r="B367" i="62"/>
  <c r="B368" i="62"/>
  <c r="B369" i="62"/>
  <c r="C370" i="62"/>
  <c r="B371" i="62"/>
  <c r="B372" i="62"/>
  <c r="B373" i="62"/>
  <c r="B374" i="62"/>
  <c r="B375" i="62"/>
  <c r="C376" i="62"/>
  <c r="B377" i="62"/>
  <c r="B378" i="62"/>
  <c r="B379" i="62"/>
  <c r="B380" i="62"/>
  <c r="B381" i="62"/>
  <c r="G421" i="62"/>
  <c r="H421" i="62"/>
  <c r="I421" i="62"/>
  <c r="J421" i="62"/>
  <c r="K421" i="62"/>
  <c r="L421" i="62"/>
  <c r="M421" i="62"/>
  <c r="G425" i="62"/>
  <c r="H425" i="62"/>
  <c r="I425" i="62"/>
  <c r="J425" i="62"/>
  <c r="K425" i="62"/>
  <c r="L425" i="62"/>
  <c r="M425" i="62"/>
  <c r="G429" i="62"/>
  <c r="H429" i="62"/>
  <c r="I429" i="62"/>
  <c r="J429" i="62" s="1"/>
  <c r="K429" i="62" s="1"/>
  <c r="L429" i="62" s="1"/>
  <c r="M429" i="62" s="1"/>
  <c r="G433" i="62"/>
  <c r="H433" i="62"/>
  <c r="I433" i="62"/>
  <c r="J433" i="62"/>
  <c r="K433" i="62"/>
  <c r="L433" i="62"/>
  <c r="M433" i="62"/>
  <c r="G437" i="62"/>
  <c r="H437" i="62"/>
  <c r="I437" i="62"/>
  <c r="J437" i="62"/>
  <c r="K437" i="62"/>
  <c r="L437" i="62"/>
  <c r="M437" i="62"/>
  <c r="A5" i="62"/>
  <c r="A2" i="62"/>
  <c r="L31" i="61"/>
  <c r="K31" i="61"/>
  <c r="J31" i="61"/>
  <c r="J39" i="61" s="1"/>
  <c r="I31" i="61"/>
  <c r="H31" i="61"/>
  <c r="G31" i="61"/>
  <c r="H9" i="61"/>
  <c r="I9" i="61" s="1"/>
  <c r="G6" i="61"/>
  <c r="G10" i="61" s="1"/>
  <c r="F10" i="61" s="1"/>
  <c r="A5" i="61"/>
  <c r="A2" i="61"/>
  <c r="L11" i="46" l="1"/>
  <c r="K29" i="46"/>
  <c r="K28" i="46"/>
  <c r="K30" i="46"/>
  <c r="K23" i="46"/>
  <c r="F42" i="18"/>
  <c r="C28" i="63"/>
  <c r="G110" i="61"/>
  <c r="H110" i="61"/>
  <c r="F163" i="61"/>
  <c r="J37" i="61"/>
  <c r="G7" i="61"/>
  <c r="J41" i="61"/>
  <c r="G439" i="62"/>
  <c r="C134" i="61"/>
  <c r="G34" i="61"/>
  <c r="I110" i="61"/>
  <c r="I439" i="62"/>
  <c r="H439" i="62"/>
  <c r="J439" i="62"/>
  <c r="K110" i="61"/>
  <c r="L108" i="61"/>
  <c r="L106" i="61"/>
  <c r="J110" i="61"/>
  <c r="K439" i="62"/>
  <c r="M439" i="62"/>
  <c r="L439" i="62"/>
  <c r="G11" i="61"/>
  <c r="F11" i="61" s="1"/>
  <c r="H34" i="61"/>
  <c r="G37" i="61"/>
  <c r="K37" i="61"/>
  <c r="G39" i="61"/>
  <c r="K39" i="61"/>
  <c r="G41" i="61"/>
  <c r="K41" i="61"/>
  <c r="H37" i="61"/>
  <c r="L37" i="61"/>
  <c r="H39" i="61"/>
  <c r="L39" i="61"/>
  <c r="H41" i="61"/>
  <c r="L41" i="61"/>
  <c r="J9" i="61"/>
  <c r="I37" i="61"/>
  <c r="I39" i="61"/>
  <c r="I41" i="61"/>
  <c r="L28" i="46" l="1"/>
  <c r="E28" i="46" s="1"/>
  <c r="L30" i="46"/>
  <c r="E30" i="46" s="1"/>
  <c r="L23" i="46"/>
  <c r="L29" i="46"/>
  <c r="E29" i="46" s="1"/>
  <c r="F38" i="18"/>
  <c r="C16" i="63"/>
  <c r="L110" i="61"/>
  <c r="C439" i="62"/>
  <c r="H10" i="61"/>
  <c r="K9" i="61"/>
  <c r="F47" i="61" l="1"/>
  <c r="L9" i="61"/>
  <c r="H11" i="61"/>
  <c r="F64" i="38"/>
  <c r="E28" i="39"/>
  <c r="F48" i="47"/>
  <c r="F49" i="47" s="1"/>
  <c r="L43" i="46"/>
  <c r="K43" i="46"/>
  <c r="J43" i="46"/>
  <c r="I43" i="46"/>
  <c r="H43" i="46"/>
  <c r="G43" i="46"/>
  <c r="L15" i="46"/>
  <c r="K15" i="46"/>
  <c r="J15" i="46"/>
  <c r="I15" i="46"/>
  <c r="H15" i="46"/>
  <c r="G15" i="46"/>
  <c r="L26" i="18"/>
  <c r="L111" i="18" s="1"/>
  <c r="K26" i="18"/>
  <c r="K111" i="18" s="1"/>
  <c r="J26" i="18"/>
  <c r="J111" i="18" s="1"/>
  <c r="I26" i="18"/>
  <c r="I111" i="18" s="1"/>
  <c r="H26" i="18"/>
  <c r="H111" i="18" s="1"/>
  <c r="G26" i="18"/>
  <c r="F26" i="18"/>
  <c r="F111" i="18" s="1"/>
  <c r="L18" i="18"/>
  <c r="K18" i="18"/>
  <c r="J18" i="18"/>
  <c r="I18" i="18"/>
  <c r="H18" i="18"/>
  <c r="G18" i="18"/>
  <c r="G103" i="18" s="1"/>
  <c r="F18" i="18"/>
  <c r="F103" i="18" s="1"/>
  <c r="I9" i="13"/>
  <c r="E6" i="63" s="1"/>
  <c r="H73" i="46" s="1"/>
  <c r="D26" i="18" l="1"/>
  <c r="G111" i="18"/>
  <c r="D18" i="18"/>
  <c r="I8" i="62"/>
  <c r="I44" i="62" s="1"/>
  <c r="J9" i="13"/>
  <c r="F6" i="63" s="1"/>
  <c r="I73" i="46" s="1"/>
  <c r="I10" i="61"/>
  <c r="C26" i="18"/>
  <c r="C18" i="18"/>
  <c r="J8" i="62" l="1"/>
  <c r="J44" i="62" s="1"/>
  <c r="K9" i="13"/>
  <c r="G6" i="63" s="1"/>
  <c r="J73" i="46" s="1"/>
  <c r="I11" i="61"/>
  <c r="G29" i="34"/>
  <c r="L9" i="13" l="1"/>
  <c r="H6" i="63" s="1"/>
  <c r="K73" i="46" s="1"/>
  <c r="K8" i="62"/>
  <c r="K44" i="62" s="1"/>
  <c r="J10" i="61"/>
  <c r="F38" i="34"/>
  <c r="C24" i="63" s="1"/>
  <c r="L8" i="62" l="1"/>
  <c r="L44" i="62" s="1"/>
  <c r="M9" i="13"/>
  <c r="I6" i="63" s="1"/>
  <c r="L73" i="46" s="1"/>
  <c r="F59" i="34"/>
  <c r="J11" i="61"/>
  <c r="M8" i="62" l="1"/>
  <c r="M44" i="62" s="1"/>
  <c r="K10" i="61"/>
  <c r="A5" i="57"/>
  <c r="A2" i="57"/>
  <c r="N39" i="55"/>
  <c r="M39" i="55"/>
  <c r="L39" i="55"/>
  <c r="K39" i="55"/>
  <c r="J39" i="55"/>
  <c r="I39" i="55"/>
  <c r="N26" i="55"/>
  <c r="M26" i="55"/>
  <c r="L26" i="55"/>
  <c r="K26" i="55"/>
  <c r="J26" i="55"/>
  <c r="I26" i="55"/>
  <c r="K11" i="55"/>
  <c r="L11" i="55" s="1"/>
  <c r="M11" i="55" s="1"/>
  <c r="N11" i="55" s="1"/>
  <c r="K11" i="61" l="1"/>
  <c r="L10" i="61" l="1"/>
  <c r="I40" i="53"/>
  <c r="I39" i="53"/>
  <c r="G40" i="53"/>
  <c r="G39" i="53"/>
  <c r="L11" i="61" l="1"/>
  <c r="D37" i="45"/>
  <c r="D34" i="45"/>
  <c r="D33" i="45"/>
  <c r="D31" i="45"/>
  <c r="D30" i="45"/>
  <c r="D28" i="45"/>
  <c r="D27" i="45"/>
  <c r="D25" i="45"/>
  <c r="D24" i="45"/>
  <c r="Z11" i="35" l="1"/>
  <c r="U41" i="35" l="1"/>
  <c r="U39" i="35"/>
  <c r="U38" i="35"/>
  <c r="U37" i="35"/>
  <c r="U36" i="35"/>
  <c r="U35" i="35"/>
  <c r="U34" i="35"/>
  <c r="U32" i="35"/>
  <c r="U29" i="35"/>
  <c r="U28" i="35"/>
  <c r="U16" i="35"/>
  <c r="U14" i="35"/>
  <c r="Z41" i="35"/>
  <c r="Z40" i="35"/>
  <c r="Z39" i="35"/>
  <c r="Z38" i="35"/>
  <c r="Z37" i="35"/>
  <c r="Z36" i="35"/>
  <c r="Z35" i="35"/>
  <c r="Z34" i="35"/>
  <c r="Z33" i="35"/>
  <c r="Z32" i="35"/>
  <c r="Z31" i="35"/>
  <c r="Z30" i="35"/>
  <c r="Z29" i="35"/>
  <c r="Z28" i="35"/>
  <c r="Z27" i="35"/>
  <c r="Z16" i="35"/>
  <c r="Z14" i="35"/>
  <c r="Z42" i="35" l="1"/>
  <c r="Z43" i="35" s="1"/>
  <c r="A2" i="39"/>
  <c r="L33" i="61" l="1"/>
  <c r="L34" i="61" s="1"/>
  <c r="K33" i="61"/>
  <c r="K34" i="61" s="1"/>
  <c r="J33" i="61"/>
  <c r="J34" i="61" s="1"/>
  <c r="I33" i="61"/>
  <c r="I34" i="61" s="1"/>
  <c r="A2" i="54" l="1"/>
  <c r="A5" i="55"/>
  <c r="G16" i="41" l="1"/>
  <c r="A5" i="54" l="1"/>
  <c r="L46" i="47" l="1"/>
  <c r="K46" i="47"/>
  <c r="J46" i="47"/>
  <c r="I46" i="47"/>
  <c r="H46" i="47"/>
  <c r="G46" i="47"/>
  <c r="L45" i="47"/>
  <c r="K45" i="47"/>
  <c r="J45" i="47"/>
  <c r="I45" i="47"/>
  <c r="H45" i="47"/>
  <c r="G45" i="47"/>
  <c r="L44" i="47"/>
  <c r="K44" i="47"/>
  <c r="J44" i="47"/>
  <c r="I44" i="47"/>
  <c r="H44" i="47"/>
  <c r="G44" i="47"/>
  <c r="L43" i="47"/>
  <c r="K43" i="47"/>
  <c r="J43" i="47"/>
  <c r="I43" i="47"/>
  <c r="H43" i="47"/>
  <c r="G43" i="47"/>
  <c r="L42" i="47"/>
  <c r="K42" i="47"/>
  <c r="J42" i="47"/>
  <c r="I42" i="47"/>
  <c r="H42" i="47"/>
  <c r="G42" i="47"/>
  <c r="L41" i="47"/>
  <c r="K41" i="47"/>
  <c r="J41" i="47"/>
  <c r="I41" i="47"/>
  <c r="H41" i="47"/>
  <c r="G41" i="47"/>
  <c r="L40" i="47"/>
  <c r="K40" i="47"/>
  <c r="J40" i="47"/>
  <c r="I40" i="47"/>
  <c r="H40" i="47"/>
  <c r="G40" i="47"/>
  <c r="L39" i="47"/>
  <c r="K39" i="47"/>
  <c r="J39" i="47"/>
  <c r="I39" i="47"/>
  <c r="H39" i="47"/>
  <c r="G39" i="47"/>
  <c r="L38" i="47"/>
  <c r="K38" i="47"/>
  <c r="J38" i="47"/>
  <c r="I38" i="47"/>
  <c r="H38" i="47"/>
  <c r="G38" i="47"/>
  <c r="L37" i="47"/>
  <c r="K37" i="47"/>
  <c r="J37" i="47"/>
  <c r="I37" i="47"/>
  <c r="H37" i="47"/>
  <c r="G37" i="47"/>
  <c r="L36" i="47"/>
  <c r="K36" i="47"/>
  <c r="J36" i="47"/>
  <c r="I36" i="47"/>
  <c r="H36" i="47"/>
  <c r="G36" i="47"/>
  <c r="L35" i="47"/>
  <c r="K35" i="47"/>
  <c r="J35" i="47"/>
  <c r="I35" i="47"/>
  <c r="H35" i="47"/>
  <c r="G35" i="47"/>
  <c r="L34" i="47"/>
  <c r="K34" i="47"/>
  <c r="J34" i="47"/>
  <c r="I34" i="47"/>
  <c r="H34" i="47"/>
  <c r="G34" i="47"/>
  <c r="L33" i="47"/>
  <c r="K33" i="47"/>
  <c r="J33" i="47"/>
  <c r="I33" i="47"/>
  <c r="H33" i="47"/>
  <c r="G33" i="47"/>
  <c r="L32" i="47"/>
  <c r="K32" i="47"/>
  <c r="J32" i="47"/>
  <c r="I32" i="47"/>
  <c r="H32" i="47"/>
  <c r="G32" i="47"/>
  <c r="L31" i="47"/>
  <c r="K31" i="47"/>
  <c r="J31" i="47"/>
  <c r="I31" i="47"/>
  <c r="H31" i="47"/>
  <c r="G31" i="47"/>
  <c r="L30" i="47"/>
  <c r="K30" i="47"/>
  <c r="J30" i="47"/>
  <c r="I30" i="47"/>
  <c r="H30" i="47"/>
  <c r="G30" i="47"/>
  <c r="L29" i="47"/>
  <c r="K29" i="47"/>
  <c r="J29" i="47"/>
  <c r="I29" i="47"/>
  <c r="H29" i="47"/>
  <c r="G29" i="47"/>
  <c r="L28" i="47"/>
  <c r="K28" i="47"/>
  <c r="J28" i="47"/>
  <c r="I28" i="47"/>
  <c r="H28" i="47"/>
  <c r="G28" i="47"/>
  <c r="L27" i="47"/>
  <c r="K27" i="47"/>
  <c r="J27" i="47"/>
  <c r="I27" i="47"/>
  <c r="H27" i="47"/>
  <c r="G27" i="47"/>
  <c r="L26" i="47"/>
  <c r="K26" i="47"/>
  <c r="J26" i="47"/>
  <c r="I26" i="47"/>
  <c r="H26" i="47"/>
  <c r="G26" i="47"/>
  <c r="L19" i="47"/>
  <c r="K19" i="47"/>
  <c r="J19" i="47"/>
  <c r="I19" i="47"/>
  <c r="H19" i="47"/>
  <c r="G19" i="47"/>
  <c r="L18" i="47"/>
  <c r="K18" i="47"/>
  <c r="J18" i="47"/>
  <c r="I18" i="47"/>
  <c r="H18" i="47"/>
  <c r="G18" i="47"/>
  <c r="L17" i="47"/>
  <c r="K17" i="47"/>
  <c r="J17" i="47"/>
  <c r="I17" i="47"/>
  <c r="H17" i="47"/>
  <c r="G17" i="47"/>
  <c r="L16" i="47"/>
  <c r="K16" i="47"/>
  <c r="J16" i="47"/>
  <c r="I16" i="47"/>
  <c r="H16" i="47"/>
  <c r="G16" i="47"/>
  <c r="L15" i="47"/>
  <c r="K15" i="47"/>
  <c r="J15" i="47"/>
  <c r="I15" i="47"/>
  <c r="H15" i="47"/>
  <c r="G15" i="47"/>
  <c r="L14" i="47"/>
  <c r="K14" i="47"/>
  <c r="J14" i="47"/>
  <c r="I14" i="47"/>
  <c r="H14" i="47"/>
  <c r="G14" i="47"/>
  <c r="L13" i="47"/>
  <c r="K13" i="47"/>
  <c r="J13" i="47"/>
  <c r="I13" i="47"/>
  <c r="H13" i="47"/>
  <c r="G13" i="47"/>
  <c r="N34" i="48"/>
  <c r="M34" i="48"/>
  <c r="L34" i="48"/>
  <c r="K34" i="48"/>
  <c r="J34" i="48"/>
  <c r="I34" i="48"/>
  <c r="H34" i="48"/>
  <c r="B70" i="46" l="1"/>
  <c r="F34" i="46"/>
  <c r="G34" i="46" l="1"/>
  <c r="F69" i="46"/>
  <c r="G19" i="46"/>
  <c r="H19" i="46" s="1"/>
  <c r="G21" i="46" l="1"/>
  <c r="G39" i="46" s="1"/>
  <c r="H21" i="46"/>
  <c r="H39" i="46" s="1"/>
  <c r="I19" i="46"/>
  <c r="J19" i="46" l="1"/>
  <c r="I21" i="46"/>
  <c r="I39" i="46" s="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G38" i="53" s="1"/>
  <c r="I35" i="53"/>
  <c r="M12" i="53"/>
  <c r="G12" i="53"/>
  <c r="K19" i="46"/>
  <c r="J21" i="46"/>
  <c r="J39" i="46" s="1"/>
  <c r="I36" i="53"/>
  <c r="I37" i="53" s="1"/>
  <c r="I38" i="53" s="1"/>
  <c r="G43" i="48"/>
  <c r="G42" i="48"/>
  <c r="G41" i="48"/>
  <c r="G40" i="48"/>
  <c r="G39" i="48"/>
  <c r="G38" i="48"/>
  <c r="G37" i="48"/>
  <c r="G36" i="48"/>
  <c r="H44" i="48"/>
  <c r="C32" i="63" s="1"/>
  <c r="L19" i="46" l="1"/>
  <c r="L21" i="46" s="1"/>
  <c r="L39" i="46" s="1"/>
  <c r="K21" i="46"/>
  <c r="K39" i="46" s="1"/>
  <c r="H94" i="46"/>
  <c r="I94" i="46"/>
  <c r="J94" i="46"/>
  <c r="K94" i="46"/>
  <c r="L94" i="46"/>
  <c r="H93" i="46"/>
  <c r="I93" i="46"/>
  <c r="J93" i="46"/>
  <c r="K93" i="46"/>
  <c r="L93" i="46"/>
  <c r="G93" i="46"/>
  <c r="H61" i="46"/>
  <c r="I61" i="46"/>
  <c r="J61" i="46"/>
  <c r="K61" i="46"/>
  <c r="L61" i="46"/>
  <c r="G61" i="46"/>
  <c r="H62" i="46"/>
  <c r="I62" i="46"/>
  <c r="J62" i="46"/>
  <c r="K62" i="46"/>
  <c r="L62" i="46"/>
  <c r="G62" i="46"/>
  <c r="H87" i="46"/>
  <c r="H92" i="18" s="1"/>
  <c r="I87" i="46"/>
  <c r="I92" i="18" s="1"/>
  <c r="J87" i="46"/>
  <c r="J92" i="18" s="1"/>
  <c r="K87" i="46"/>
  <c r="K92" i="18" s="1"/>
  <c r="L87" i="46"/>
  <c r="L92" i="18" s="1"/>
  <c r="G87" i="46"/>
  <c r="G92" i="18" s="1"/>
  <c r="H34" i="46" l="1"/>
  <c r="I34" i="46" l="1"/>
  <c r="F50" i="47"/>
  <c r="E46" i="47"/>
  <c r="E45" i="47"/>
  <c r="E44" i="47"/>
  <c r="E43" i="47"/>
  <c r="E42" i="47"/>
  <c r="E41" i="47"/>
  <c r="E40" i="47"/>
  <c r="E14" i="47"/>
  <c r="E13" i="47"/>
  <c r="F43" i="18" l="1"/>
  <c r="C30" i="63"/>
  <c r="J34" i="46"/>
  <c r="F6" i="34"/>
  <c r="F53" i="34" s="1"/>
  <c r="C34" i="63" l="1"/>
  <c r="K34" i="46"/>
  <c r="D26" i="41"/>
  <c r="D25" i="41"/>
  <c r="D24" i="41"/>
  <c r="D23" i="41"/>
  <c r="D22" i="41"/>
  <c r="D21" i="41"/>
  <c r="D20" i="41"/>
  <c r="D19" i="41"/>
  <c r="D18" i="41"/>
  <c r="D17" i="41"/>
  <c r="D16" i="41"/>
  <c r="D15" i="41"/>
  <c r="D14" i="41"/>
  <c r="D12" i="41"/>
  <c r="D11" i="41" l="1"/>
  <c r="L34" i="46"/>
  <c r="D27" i="41"/>
  <c r="E12" i="52" l="1"/>
  <c r="F12" i="52" s="1"/>
  <c r="G3" i="46" l="1"/>
  <c r="G2" i="46"/>
  <c r="A5" i="52"/>
  <c r="A2" i="52"/>
  <c r="G67" i="41" l="1"/>
  <c r="H67" i="41" s="1"/>
  <c r="G51" i="41"/>
  <c r="H51" i="41" s="1"/>
  <c r="F6" i="46" l="1"/>
  <c r="L92" i="46"/>
  <c r="K92" i="46"/>
  <c r="J92" i="46"/>
  <c r="I92" i="46"/>
  <c r="H92" i="46"/>
  <c r="G92" i="46" l="1"/>
  <c r="E43" i="38"/>
  <c r="L18" i="46" l="1"/>
  <c r="K18" i="46"/>
  <c r="J18" i="46"/>
  <c r="I18" i="46"/>
  <c r="H18" i="46"/>
  <c r="G18" i="46"/>
  <c r="L88" i="46"/>
  <c r="K88" i="46"/>
  <c r="J88" i="46"/>
  <c r="I88" i="46"/>
  <c r="H88" i="46"/>
  <c r="G88" i="46"/>
  <c r="E21" i="46" l="1"/>
  <c r="E32" i="46" l="1"/>
  <c r="G94" i="46"/>
  <c r="C43" i="38" s="1"/>
  <c r="F3" i="41"/>
  <c r="F2" i="41"/>
  <c r="C28" i="38" l="1"/>
  <c r="C27" i="38"/>
  <c r="C24" i="38"/>
  <c r="C23" i="38"/>
  <c r="E38" i="45" l="1"/>
  <c r="F39" i="18" l="1"/>
  <c r="F31" i="18" l="1"/>
  <c r="F30" i="18"/>
  <c r="F115" i="18" s="1"/>
  <c r="F29" i="18"/>
  <c r="F114" i="18" s="1"/>
  <c r="F28" i="18"/>
  <c r="F113" i="18" s="1"/>
  <c r="F25" i="18"/>
  <c r="F110" i="18" s="1"/>
  <c r="F24" i="18"/>
  <c r="F23" i="18"/>
  <c r="F108" i="18" s="1"/>
  <c r="F22" i="18"/>
  <c r="F107" i="18" s="1"/>
  <c r="F21" i="18"/>
  <c r="F106" i="18" s="1"/>
  <c r="F20" i="18"/>
  <c r="F105" i="18" s="1"/>
  <c r="F19" i="18"/>
  <c r="F104" i="18" s="1"/>
  <c r="F17" i="18"/>
  <c r="F102" i="18" s="1"/>
  <c r="F16" i="18"/>
  <c r="F101" i="18" s="1"/>
  <c r="F15" i="18"/>
  <c r="F100" i="18" s="1"/>
  <c r="F99" i="18"/>
  <c r="F98" i="18"/>
  <c r="M15" i="13"/>
  <c r="L15" i="61" s="1"/>
  <c r="L15" i="13"/>
  <c r="K15" i="61" s="1"/>
  <c r="K15" i="13"/>
  <c r="J15" i="61" s="1"/>
  <c r="J15" i="13"/>
  <c r="I15" i="61" s="1"/>
  <c r="I15" i="13"/>
  <c r="H15" i="61" s="1"/>
  <c r="H15" i="13"/>
  <c r="G15" i="61" s="1"/>
  <c r="F41" i="18"/>
  <c r="F40" i="18"/>
  <c r="F66" i="18"/>
  <c r="F6" i="18"/>
  <c r="F12" i="18" s="1"/>
  <c r="F35" i="18" l="1"/>
  <c r="F96" i="18"/>
  <c r="F133" i="18"/>
  <c r="F60" i="18"/>
  <c r="F9" i="18"/>
  <c r="K97" i="61"/>
  <c r="K98" i="61"/>
  <c r="I98" i="61"/>
  <c r="I97" i="61"/>
  <c r="J97" i="61"/>
  <c r="J98" i="61"/>
  <c r="G97" i="61"/>
  <c r="H98" i="61"/>
  <c r="H97" i="61"/>
  <c r="L98" i="61"/>
  <c r="L97" i="61"/>
  <c r="E28" i="38" l="1"/>
  <c r="D28" i="38" s="1"/>
  <c r="C29" i="38"/>
  <c r="G11" i="47" l="1"/>
  <c r="H11" i="47"/>
  <c r="I11" i="47"/>
  <c r="J11" i="47"/>
  <c r="K11" i="47"/>
  <c r="L11" i="47"/>
  <c r="E17" i="38"/>
  <c r="E25" i="38"/>
  <c r="E26" i="38"/>
  <c r="E27" i="38"/>
  <c r="D27" i="38" s="1"/>
  <c r="E29" i="38"/>
  <c r="D29" i="38" s="1"/>
  <c r="G15" i="38"/>
  <c r="H15" i="38"/>
  <c r="J15" i="38"/>
  <c r="K15" i="38"/>
  <c r="M15" i="38"/>
  <c r="N15" i="38"/>
  <c r="P15" i="38"/>
  <c r="Q15" i="38"/>
  <c r="F56" i="38"/>
  <c r="E36" i="38"/>
  <c r="E11" i="47" l="1"/>
  <c r="G56" i="38"/>
  <c r="F57" i="38"/>
  <c r="F58" i="38" s="1"/>
  <c r="C92" i="18"/>
  <c r="E55" i="38"/>
  <c r="E54" i="38"/>
  <c r="E37" i="38"/>
  <c r="N44" i="48"/>
  <c r="M44" i="48"/>
  <c r="H32" i="63" s="1"/>
  <c r="L44" i="48"/>
  <c r="G32" i="63" s="1"/>
  <c r="K44" i="48"/>
  <c r="F32" i="63" s="1"/>
  <c r="J44" i="48"/>
  <c r="E32" i="63" s="1"/>
  <c r="I44" i="48"/>
  <c r="D32" i="63" s="1"/>
  <c r="I13" i="48"/>
  <c r="I35" i="48" s="1"/>
  <c r="A5" i="48"/>
  <c r="A2" i="48"/>
  <c r="B32" i="63" l="1"/>
  <c r="F32" i="18"/>
  <c r="F109" i="18" s="1"/>
  <c r="G40" i="18"/>
  <c r="G44" i="48"/>
  <c r="J45" i="48" s="1"/>
  <c r="C41" i="38"/>
  <c r="K40" i="18"/>
  <c r="J40" i="18"/>
  <c r="H40" i="18"/>
  <c r="L40" i="18"/>
  <c r="I40" i="18"/>
  <c r="H56" i="38"/>
  <c r="G57" i="38"/>
  <c r="G58" i="38" s="1"/>
  <c r="H12" i="48"/>
  <c r="J12" i="48"/>
  <c r="J13" i="48" s="1"/>
  <c r="H13" i="48"/>
  <c r="H35" i="48" s="1"/>
  <c r="K45" i="48" l="1"/>
  <c r="N45" i="48"/>
  <c r="D40" i="18"/>
  <c r="F120" i="18"/>
  <c r="F124" i="18"/>
  <c r="F123" i="18"/>
  <c r="F121" i="18"/>
  <c r="F122" i="18"/>
  <c r="F125" i="18"/>
  <c r="L45" i="48"/>
  <c r="G45" i="48"/>
  <c r="H45" i="48"/>
  <c r="I45" i="48"/>
  <c r="M45" i="48"/>
  <c r="K12" i="48"/>
  <c r="K13" i="48" s="1"/>
  <c r="J35" i="48"/>
  <c r="C40" i="18"/>
  <c r="I56" i="38"/>
  <c r="H57" i="38"/>
  <c r="H58" i="38" s="1"/>
  <c r="L12" i="48" l="1"/>
  <c r="L13" i="48" s="1"/>
  <c r="K35" i="48"/>
  <c r="J56" i="38"/>
  <c r="I57" i="38"/>
  <c r="I58" i="38" s="1"/>
  <c r="G60" i="46"/>
  <c r="H60" i="46"/>
  <c r="G59" i="46"/>
  <c r="H59" i="46"/>
  <c r="G32" i="34"/>
  <c r="H29" i="34"/>
  <c r="G28" i="34"/>
  <c r="H28" i="34"/>
  <c r="M12" i="48" l="1"/>
  <c r="M13" i="48" s="1"/>
  <c r="L35" i="48"/>
  <c r="K56" i="38"/>
  <c r="J57" i="38"/>
  <c r="J58" i="38" s="1"/>
  <c r="D50" i="47"/>
  <c r="L47" i="47"/>
  <c r="K47" i="47"/>
  <c r="J47" i="47"/>
  <c r="I47" i="47"/>
  <c r="H47" i="47"/>
  <c r="G47" i="47"/>
  <c r="E38" i="47"/>
  <c r="E36" i="47"/>
  <c r="E34" i="47"/>
  <c r="E32" i="47"/>
  <c r="E30" i="47"/>
  <c r="E28" i="47"/>
  <c r="E26" i="47"/>
  <c r="L12" i="47"/>
  <c r="K12" i="47"/>
  <c r="J12" i="47"/>
  <c r="I12" i="47"/>
  <c r="H12" i="47"/>
  <c r="G12" i="47"/>
  <c r="H7" i="47"/>
  <c r="I7" i="47" s="1"/>
  <c r="J7" i="47" s="1"/>
  <c r="K7" i="47" s="1"/>
  <c r="L7" i="47" s="1"/>
  <c r="A5" i="47"/>
  <c r="A2" i="47"/>
  <c r="L60" i="46"/>
  <c r="K60" i="46"/>
  <c r="J60" i="46"/>
  <c r="I60" i="46"/>
  <c r="L59" i="46"/>
  <c r="K59" i="46"/>
  <c r="J59" i="46"/>
  <c r="I59" i="46"/>
  <c r="C53" i="46"/>
  <c r="C51" i="46"/>
  <c r="L25" i="46"/>
  <c r="K25" i="46"/>
  <c r="J25" i="46"/>
  <c r="I25" i="46"/>
  <c r="H25" i="46"/>
  <c r="G25" i="46"/>
  <c r="L24" i="46"/>
  <c r="K24" i="46"/>
  <c r="J24" i="46"/>
  <c r="I24" i="46"/>
  <c r="H24" i="46"/>
  <c r="G24" i="46"/>
  <c r="L6" i="46"/>
  <c r="K6" i="46"/>
  <c r="J6" i="46"/>
  <c r="I6" i="46"/>
  <c r="H6" i="46"/>
  <c r="G6" i="46"/>
  <c r="A4" i="46"/>
  <c r="A2" i="46"/>
  <c r="G31" i="46" l="1"/>
  <c r="J31" i="46"/>
  <c r="H31" i="46"/>
  <c r="I31" i="46"/>
  <c r="K31" i="46"/>
  <c r="L31" i="46"/>
  <c r="K40" i="46"/>
  <c r="H40" i="46"/>
  <c r="I40" i="46"/>
  <c r="G40" i="46"/>
  <c r="L40" i="46"/>
  <c r="J40" i="46"/>
  <c r="I90" i="46"/>
  <c r="I41" i="46"/>
  <c r="G91" i="46"/>
  <c r="G42" i="46"/>
  <c r="K91" i="46"/>
  <c r="K42" i="46"/>
  <c r="L91" i="46"/>
  <c r="L42" i="46"/>
  <c r="J90" i="46"/>
  <c r="J41" i="46"/>
  <c r="H91" i="46"/>
  <c r="H42" i="46"/>
  <c r="G90" i="46"/>
  <c r="G41" i="46"/>
  <c r="K90" i="46"/>
  <c r="K41" i="46"/>
  <c r="I91" i="46"/>
  <c r="I42" i="46"/>
  <c r="H90" i="46"/>
  <c r="H41" i="46"/>
  <c r="L90" i="46"/>
  <c r="L41" i="46"/>
  <c r="J91" i="46"/>
  <c r="J42" i="46"/>
  <c r="H48" i="47"/>
  <c r="H49" i="47" s="1"/>
  <c r="H50" i="47" s="1"/>
  <c r="L48" i="47"/>
  <c r="L49" i="47" s="1"/>
  <c r="L50" i="47" s="1"/>
  <c r="I48" i="47"/>
  <c r="I49" i="47" s="1"/>
  <c r="I50" i="47" s="1"/>
  <c r="J48" i="47"/>
  <c r="J49" i="47" s="1"/>
  <c r="J50" i="47" s="1"/>
  <c r="G48" i="47"/>
  <c r="G49" i="47" s="1"/>
  <c r="G50" i="47" s="1"/>
  <c r="D30" i="63" s="1"/>
  <c r="K48" i="47"/>
  <c r="K49" i="47" s="1"/>
  <c r="K50" i="47" s="1"/>
  <c r="E47" i="47"/>
  <c r="N12" i="48"/>
  <c r="N13" i="48" s="1"/>
  <c r="N35" i="48" s="1"/>
  <c r="M35" i="48"/>
  <c r="E29" i="47"/>
  <c r="E31" i="47"/>
  <c r="E33" i="47"/>
  <c r="E35" i="47"/>
  <c r="E39" i="47"/>
  <c r="E12" i="47"/>
  <c r="E16" i="47"/>
  <c r="E18" i="47"/>
  <c r="E19" i="47"/>
  <c r="E27" i="47"/>
  <c r="E15" i="47"/>
  <c r="E17" i="47"/>
  <c r="G89" i="46"/>
  <c r="J66" i="46"/>
  <c r="I66" i="46"/>
  <c r="L66" i="46"/>
  <c r="H66" i="46"/>
  <c r="K66" i="46"/>
  <c r="G66" i="46"/>
  <c r="H89" i="46"/>
  <c r="L89" i="46"/>
  <c r="K89" i="46"/>
  <c r="I89" i="46"/>
  <c r="J89" i="46"/>
  <c r="E37" i="47"/>
  <c r="E25" i="46"/>
  <c r="E23" i="46"/>
  <c r="L56" i="38"/>
  <c r="K57" i="38"/>
  <c r="K58" i="38" s="1"/>
  <c r="G63" i="46"/>
  <c r="C54" i="46"/>
  <c r="G50" i="46" s="1"/>
  <c r="I36" i="46" l="1"/>
  <c r="I35" i="46"/>
  <c r="H35" i="46"/>
  <c r="H36" i="46"/>
  <c r="H69" i="46" s="1"/>
  <c r="L35" i="46"/>
  <c r="L36" i="46"/>
  <c r="L69" i="46" s="1"/>
  <c r="J36" i="46"/>
  <c r="J69" i="46" s="1"/>
  <c r="J35" i="46"/>
  <c r="K36" i="46"/>
  <c r="K69" i="46" s="1"/>
  <c r="K35" i="46"/>
  <c r="G36" i="46"/>
  <c r="G69" i="46" s="1"/>
  <c r="G35" i="46"/>
  <c r="G68" i="46" s="1"/>
  <c r="C42" i="38" s="1"/>
  <c r="I69" i="46"/>
  <c r="E31" i="46"/>
  <c r="G30" i="63"/>
  <c r="J43" i="18"/>
  <c r="I43" i="18"/>
  <c r="F30" i="63"/>
  <c r="L43" i="18"/>
  <c r="I30" i="63"/>
  <c r="K43" i="18"/>
  <c r="H30" i="63"/>
  <c r="H43" i="18"/>
  <c r="E30" i="63"/>
  <c r="D55" i="46"/>
  <c r="D56" i="46" s="1"/>
  <c r="D57" i="46" s="1"/>
  <c r="F68" i="46"/>
  <c r="F70" i="46"/>
  <c r="C20" i="63" s="1"/>
  <c r="E24" i="46"/>
  <c r="M56" i="38"/>
  <c r="L57" i="38"/>
  <c r="L58" i="38" s="1"/>
  <c r="G43" i="18"/>
  <c r="C46" i="38"/>
  <c r="E50" i="47"/>
  <c r="J37" i="46" l="1"/>
  <c r="H37" i="46"/>
  <c r="L37" i="46"/>
  <c r="I37" i="46"/>
  <c r="E69" i="46"/>
  <c r="K37" i="46"/>
  <c r="D43" i="18"/>
  <c r="G37" i="46"/>
  <c r="F79" i="46"/>
  <c r="E35" i="46"/>
  <c r="B30" i="63"/>
  <c r="G56" i="46"/>
  <c r="G57" i="46"/>
  <c r="G70" i="46" s="1"/>
  <c r="F37" i="46"/>
  <c r="F37" i="18"/>
  <c r="F71" i="46"/>
  <c r="N56" i="38"/>
  <c r="M57" i="38"/>
  <c r="M58" i="38" s="1"/>
  <c r="C43" i="18"/>
  <c r="F119" i="18" l="1"/>
  <c r="G71" i="46"/>
  <c r="D20" i="63"/>
  <c r="G37" i="18"/>
  <c r="G65" i="46"/>
  <c r="E34" i="46"/>
  <c r="O56" i="38"/>
  <c r="N57" i="38"/>
  <c r="N58" i="38" s="1"/>
  <c r="G79" i="46" l="1"/>
  <c r="P56" i="38"/>
  <c r="O57" i="38"/>
  <c r="O58" i="38" s="1"/>
  <c r="Q56" i="38" l="1"/>
  <c r="Q57" i="38" s="1"/>
  <c r="Q58" i="38" s="1"/>
  <c r="P57" i="38"/>
  <c r="P58" i="38" s="1"/>
  <c r="E58" i="38" s="1"/>
  <c r="E57" i="38"/>
  <c r="F11" i="45" l="1"/>
  <c r="A5" i="45"/>
  <c r="A2" i="45"/>
  <c r="E10" i="45" l="1"/>
  <c r="E11" i="45"/>
  <c r="G10" i="45"/>
  <c r="G11" i="45" s="1"/>
  <c r="H10" i="45" s="1"/>
  <c r="H11" i="45" s="1"/>
  <c r="I10" i="45" s="1"/>
  <c r="I11" i="45" s="1"/>
  <c r="J10" i="45" s="1"/>
  <c r="J11" i="45" s="1"/>
  <c r="K10" i="45" s="1"/>
  <c r="K11" i="45" s="1"/>
  <c r="W35" i="35" l="1"/>
  <c r="V35" i="35"/>
  <c r="W32" i="35"/>
  <c r="V32" i="35"/>
  <c r="V34" i="35"/>
  <c r="W34" i="35"/>
  <c r="V38" i="35"/>
  <c r="W38" i="35"/>
  <c r="W39" i="35"/>
  <c r="V39" i="35"/>
  <c r="W16" i="35"/>
  <c r="V16" i="35"/>
  <c r="W28" i="35"/>
  <c r="V28" i="35"/>
  <c r="V36" i="35"/>
  <c r="W36" i="35"/>
  <c r="W29" i="35"/>
  <c r="V29" i="35"/>
  <c r="W37" i="35"/>
  <c r="V37" i="35"/>
  <c r="W41" i="35"/>
  <c r="V41" i="35"/>
  <c r="E24" i="38" l="1"/>
  <c r="D24" i="38" s="1"/>
  <c r="A2" i="35" l="1"/>
  <c r="A5" i="35"/>
  <c r="A2" i="38"/>
  <c r="A5" i="38"/>
  <c r="A2" i="41"/>
  <c r="A5" i="41"/>
  <c r="A2" i="18"/>
  <c r="A4" i="18"/>
  <c r="A2" i="13"/>
  <c r="A5" i="13"/>
  <c r="A2" i="34"/>
  <c r="A5" i="34"/>
  <c r="L31" i="18"/>
  <c r="L30" i="18"/>
  <c r="L115" i="18" s="1"/>
  <c r="L28" i="18"/>
  <c r="L113" i="18" s="1"/>
  <c r="L24" i="18"/>
  <c r="L109" i="18" s="1"/>
  <c r="L23" i="18"/>
  <c r="L108" i="18" s="1"/>
  <c r="L6" i="34"/>
  <c r="L53" i="34" s="1"/>
  <c r="K6" i="34"/>
  <c r="K53" i="34" s="1"/>
  <c r="J6" i="34"/>
  <c r="J53" i="34" s="1"/>
  <c r="I6" i="34"/>
  <c r="I53" i="34" s="1"/>
  <c r="H6" i="34"/>
  <c r="H53" i="34" s="1"/>
  <c r="G6" i="34"/>
  <c r="G53"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G17" i="41"/>
  <c r="K21" i="48" s="1"/>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2" i="18" s="1"/>
  <c r="L35" i="18" l="1"/>
  <c r="L133" i="18"/>
  <c r="L60" i="18"/>
  <c r="L96" i="18"/>
  <c r="G11" i="41"/>
  <c r="K18" i="48"/>
  <c r="J15" i="48"/>
  <c r="J31" i="48"/>
  <c r="N15" i="48"/>
  <c r="N31" i="48"/>
  <c r="L15" i="48"/>
  <c r="L31" i="48"/>
  <c r="I31" i="48"/>
  <c r="I15" i="48"/>
  <c r="M15" i="48"/>
  <c r="M31" i="48"/>
  <c r="H11" i="41"/>
  <c r="E11" i="41"/>
  <c r="I11" i="41"/>
  <c r="F11" i="41"/>
  <c r="J11" i="41"/>
  <c r="H27" i="41"/>
  <c r="F27" i="41"/>
  <c r="J27" i="41"/>
  <c r="G27" i="41"/>
  <c r="E27" i="41"/>
  <c r="I27" i="41"/>
  <c r="E8" i="39"/>
  <c r="J30" i="41" l="1"/>
  <c r="J29" i="41"/>
  <c r="I29" i="41"/>
  <c r="I30" i="41"/>
  <c r="F29" i="41"/>
  <c r="F30" i="41"/>
  <c r="E30" i="41"/>
  <c r="E29" i="41"/>
  <c r="H30" i="41"/>
  <c r="H29" i="41"/>
  <c r="G29" i="41"/>
  <c r="G30" i="41"/>
  <c r="K31" i="48"/>
  <c r="K15" i="48"/>
  <c r="G12" i="45"/>
  <c r="I12" i="45"/>
  <c r="H12" i="45"/>
  <c r="J12" i="45"/>
  <c r="F12" i="45"/>
  <c r="K12" i="45"/>
  <c r="G31" i="18"/>
  <c r="G30" i="18"/>
  <c r="G28" i="18"/>
  <c r="G24" i="18"/>
  <c r="G23" i="18"/>
  <c r="G6" i="18"/>
  <c r="G12" i="18" s="1"/>
  <c r="G113" i="18" l="1"/>
  <c r="G115" i="18"/>
  <c r="G108" i="18"/>
  <c r="G35" i="18"/>
  <c r="G60" i="18"/>
  <c r="G133" i="18"/>
  <c r="G96" i="18"/>
  <c r="A5" i="39" l="1"/>
  <c r="G109" i="13" l="1"/>
  <c r="D7" i="63"/>
  <c r="G74" i="46" s="1"/>
  <c r="L10" i="46"/>
  <c r="M17" i="13" l="1"/>
  <c r="L16" i="61" s="1"/>
  <c r="L32" i="61" s="1"/>
  <c r="M19" i="13"/>
  <c r="F45" i="61"/>
  <c r="C10" i="63"/>
  <c r="L137" i="61"/>
  <c r="L138" i="61" s="1"/>
  <c r="L142" i="61" s="1"/>
  <c r="I9" i="63"/>
  <c r="L71" i="61"/>
  <c r="L77" i="61"/>
  <c r="L81" i="61"/>
  <c r="L87" i="61"/>
  <c r="L91" i="61"/>
  <c r="L76" i="61"/>
  <c r="L80" i="61"/>
  <c r="L90" i="61"/>
  <c r="L114" i="61"/>
  <c r="L72" i="61"/>
  <c r="L78" i="61"/>
  <c r="L73" i="61"/>
  <c r="L79" i="61"/>
  <c r="L113" i="61"/>
  <c r="H9" i="62"/>
  <c r="H45" i="62" s="1"/>
  <c r="C72" i="62"/>
  <c r="D132"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M37" i="13"/>
  <c r="M64" i="13"/>
  <c r="G7" i="46"/>
  <c r="F7" i="46" s="1"/>
  <c r="G10" i="13"/>
  <c r="C7" i="63" s="1"/>
  <c r="F74" i="46" s="1"/>
  <c r="L11" i="34"/>
  <c r="M97" i="13"/>
  <c r="L20" i="18" s="1"/>
  <c r="L66" i="18"/>
  <c r="G7" i="34"/>
  <c r="G54" i="34" s="1"/>
  <c r="G7" i="18"/>
  <c r="E7" i="38"/>
  <c r="D8" i="63"/>
  <c r="G75" i="46" s="1"/>
  <c r="M94" i="13"/>
  <c r="L17" i="18" s="1"/>
  <c r="M102" i="13"/>
  <c r="M96" i="13"/>
  <c r="L19" i="18" s="1"/>
  <c r="M93" i="13"/>
  <c r="L16" i="18" s="1"/>
  <c r="M98" i="13"/>
  <c r="L21" i="18" s="1"/>
  <c r="M92" i="13"/>
  <c r="L15" i="18" s="1"/>
  <c r="L143" i="18" l="1"/>
  <c r="L140" i="18"/>
  <c r="L138" i="18"/>
  <c r="L142" i="18"/>
  <c r="L141" i="18"/>
  <c r="L139" i="18"/>
  <c r="L163" i="18"/>
  <c r="L145" i="18"/>
  <c r="L150" i="18"/>
  <c r="L162" i="18"/>
  <c r="L148" i="18"/>
  <c r="L144" i="18"/>
  <c r="L146" i="18"/>
  <c r="L159" i="18"/>
  <c r="L151" i="18"/>
  <c r="L93" i="18"/>
  <c r="I33" i="63"/>
  <c r="I31" i="63"/>
  <c r="F57" i="34"/>
  <c r="F77" i="46"/>
  <c r="G29" i="62"/>
  <c r="C18" i="63"/>
  <c r="F49" i="61" s="1"/>
  <c r="C26" i="63"/>
  <c r="F61" i="34" s="1"/>
  <c r="C36" i="63"/>
  <c r="C22" i="63"/>
  <c r="F81" i="46" s="1"/>
  <c r="L9" i="18"/>
  <c r="L141" i="61"/>
  <c r="L140" i="61"/>
  <c r="M28" i="62"/>
  <c r="L56" i="34"/>
  <c r="L76" i="46"/>
  <c r="H10" i="62"/>
  <c r="L118" i="61"/>
  <c r="L29" i="18"/>
  <c r="F7" i="34"/>
  <c r="F54" i="34" s="1"/>
  <c r="G9" i="62"/>
  <c r="G45" i="62" s="1"/>
  <c r="M5" i="53"/>
  <c r="M6" i="53" s="1"/>
  <c r="N16" i="48"/>
  <c r="N32" i="48" s="1"/>
  <c r="J12" i="41"/>
  <c r="J28" i="41" s="1"/>
  <c r="L75" i="18"/>
  <c r="F7" i="18"/>
  <c r="D8" i="41"/>
  <c r="D9" i="41" s="1"/>
  <c r="G11" i="13"/>
  <c r="C8" i="63" s="1"/>
  <c r="F75" i="46" s="1"/>
  <c r="L25" i="18"/>
  <c r="L110" i="18" s="1"/>
  <c r="G8" i="46"/>
  <c r="F8" i="46" s="1"/>
  <c r="G8" i="47"/>
  <c r="G8" i="34"/>
  <c r="G55" i="34" s="1"/>
  <c r="G8" i="18"/>
  <c r="I9" i="41"/>
  <c r="E8" i="38"/>
  <c r="E12" i="38" s="1"/>
  <c r="E7" i="63"/>
  <c r="H74" i="46" s="1"/>
  <c r="L147" i="18" l="1"/>
  <c r="H134" i="62"/>
  <c r="H288" i="62" s="1"/>
  <c r="H86" i="62"/>
  <c r="H245" i="62" s="1"/>
  <c r="H235" i="62"/>
  <c r="L114" i="18"/>
  <c r="L149" i="18"/>
  <c r="H77" i="62"/>
  <c r="H237" i="62" s="1"/>
  <c r="H46" i="62"/>
  <c r="H196" i="62"/>
  <c r="H350" i="62" s="1"/>
  <c r="H157" i="62"/>
  <c r="H213" i="62"/>
  <c r="H367" i="62" s="1"/>
  <c r="H178" i="62"/>
  <c r="H332" i="62" s="1"/>
  <c r="H221" i="62"/>
  <c r="H220" i="62"/>
  <c r="H162" i="62"/>
  <c r="H136" i="62"/>
  <c r="H195" i="62"/>
  <c r="H197" i="62"/>
  <c r="H184" i="62"/>
  <c r="H338" i="62" s="1"/>
  <c r="H225" i="62"/>
  <c r="H379" i="62" s="1"/>
  <c r="H148" i="62"/>
  <c r="H302" i="62" s="1"/>
  <c r="H100" i="62"/>
  <c r="H261" i="62" s="1"/>
  <c r="H121" i="62"/>
  <c r="H282" i="62" s="1"/>
  <c r="H174" i="62"/>
  <c r="H328" i="62" s="1"/>
  <c r="H171" i="62"/>
  <c r="H325" i="62" s="1"/>
  <c r="H163" i="62"/>
  <c r="H317" i="62" s="1"/>
  <c r="H180" i="62"/>
  <c r="H334" i="62" s="1"/>
  <c r="H202" i="62"/>
  <c r="H356" i="62" s="1"/>
  <c r="H141" i="62"/>
  <c r="H295" i="62" s="1"/>
  <c r="H218" i="62"/>
  <c r="H372" i="62" s="1"/>
  <c r="H214" i="62"/>
  <c r="H368" i="62" s="1"/>
  <c r="H191" i="62"/>
  <c r="H345" i="62" s="1"/>
  <c r="H194" i="62"/>
  <c r="H348" i="62" s="1"/>
  <c r="H168" i="62"/>
  <c r="H219" i="62"/>
  <c r="H209" i="62"/>
  <c r="H363" i="62" s="1"/>
  <c r="H347" i="62"/>
  <c r="H146" i="62"/>
  <c r="H189" i="62"/>
  <c r="H343" i="62" s="1"/>
  <c r="H151" i="62"/>
  <c r="H305" i="62" s="1"/>
  <c r="H183" i="62"/>
  <c r="H337" i="62" s="1"/>
  <c r="H160" i="62"/>
  <c r="H147" i="62"/>
  <c r="H85" i="62"/>
  <c r="H224" i="62"/>
  <c r="H378" i="62" s="1"/>
  <c r="H201" i="62"/>
  <c r="H355" i="62" s="1"/>
  <c r="H177" i="62"/>
  <c r="H331" i="62" s="1"/>
  <c r="H154" i="62"/>
  <c r="H308" i="62" s="1"/>
  <c r="H123" i="62"/>
  <c r="H284" i="62" s="1"/>
  <c r="H140" i="62"/>
  <c r="H119" i="62"/>
  <c r="H135" i="62"/>
  <c r="H289" i="62" s="1"/>
  <c r="H99" i="62"/>
  <c r="H95" i="62"/>
  <c r="H112" i="62"/>
  <c r="H108" i="62"/>
  <c r="H269" i="62" s="1"/>
  <c r="H96" i="62"/>
  <c r="H109" i="62"/>
  <c r="H79" i="62"/>
  <c r="H239" i="62" s="1"/>
  <c r="H87" i="62"/>
  <c r="H246" i="62" s="1"/>
  <c r="H208" i="62"/>
  <c r="H187" i="62"/>
  <c r="H341" i="62" s="1"/>
  <c r="H188" i="62"/>
  <c r="H342" i="62" s="1"/>
  <c r="H165" i="62"/>
  <c r="H217" i="62"/>
  <c r="H371" i="62" s="1"/>
  <c r="H207" i="62"/>
  <c r="H190" i="62"/>
  <c r="H344" i="62" s="1"/>
  <c r="H122" i="62"/>
  <c r="H169" i="62"/>
  <c r="H182" i="62"/>
  <c r="H336" i="62" s="1"/>
  <c r="H159" i="62"/>
  <c r="H298" i="62"/>
  <c r="H227" i="62"/>
  <c r="H223" i="62"/>
  <c r="H377" i="62" s="1"/>
  <c r="H200" i="62"/>
  <c r="H176" i="62"/>
  <c r="H152" i="62"/>
  <c r="H306" i="62" s="1"/>
  <c r="H120" i="62"/>
  <c r="H281" i="62" s="1"/>
  <c r="H139" i="62"/>
  <c r="H117" i="62"/>
  <c r="H278" i="62" s="1"/>
  <c r="H116" i="62"/>
  <c r="H277" i="62" s="1"/>
  <c r="H98" i="62"/>
  <c r="H259" i="62" s="1"/>
  <c r="H94" i="62"/>
  <c r="H255" i="62" s="1"/>
  <c r="H111" i="62"/>
  <c r="H272" i="62" s="1"/>
  <c r="H107" i="62"/>
  <c r="H92" i="62"/>
  <c r="H253" i="62" s="1"/>
  <c r="H153" i="62"/>
  <c r="H206" i="62"/>
  <c r="H360" i="62" s="1"/>
  <c r="H164" i="62"/>
  <c r="H318" i="62" s="1"/>
  <c r="H172" i="62"/>
  <c r="H326" i="62" s="1"/>
  <c r="H145" i="62"/>
  <c r="H299" i="62" s="1"/>
  <c r="H215" i="62"/>
  <c r="H359" i="62"/>
  <c r="H170" i="62"/>
  <c r="H166" i="62"/>
  <c r="H320" i="62" s="1"/>
  <c r="H185" i="62"/>
  <c r="H339" i="62" s="1"/>
  <c r="H181" i="62"/>
  <c r="H335" i="62" s="1"/>
  <c r="H158" i="62"/>
  <c r="H124" i="62"/>
  <c r="H226" i="62"/>
  <c r="H380" i="62" s="1"/>
  <c r="H203" i="62"/>
  <c r="H199" i="62"/>
  <c r="H353" i="62" s="1"/>
  <c r="H175" i="62"/>
  <c r="H304" i="62"/>
  <c r="H142" i="62"/>
  <c r="H84" i="62"/>
  <c r="H243" i="62" s="1"/>
  <c r="H97" i="62"/>
  <c r="H258" i="62" s="1"/>
  <c r="H93" i="62"/>
  <c r="H110" i="62"/>
  <c r="H104" i="62"/>
  <c r="H106" i="62"/>
  <c r="H78" i="62"/>
  <c r="H105" i="62"/>
  <c r="H7" i="46"/>
  <c r="H57" i="46" s="1"/>
  <c r="I9" i="62"/>
  <c r="I45" i="62" s="1"/>
  <c r="F8" i="47"/>
  <c r="G10" i="62"/>
  <c r="F44" i="18"/>
  <c r="F8" i="18"/>
  <c r="F8" i="34"/>
  <c r="F55" i="34" s="1"/>
  <c r="E8" i="63"/>
  <c r="H75" i="46" s="1"/>
  <c r="H7" i="34"/>
  <c r="H54" i="34" s="1"/>
  <c r="J8" i="41"/>
  <c r="G46" i="62" l="1"/>
  <c r="G76" i="62"/>
  <c r="G75" i="62"/>
  <c r="G86" i="62"/>
  <c r="G245" i="62" s="1"/>
  <c r="C44" i="18"/>
  <c r="F126" i="18"/>
  <c r="H56" i="46"/>
  <c r="H65" i="46" s="1"/>
  <c r="H68" i="46" s="1"/>
  <c r="H316" i="62"/>
  <c r="H357" i="62"/>
  <c r="H265" i="62"/>
  <c r="H311" i="62"/>
  <c r="H351" i="62"/>
  <c r="H374" i="62"/>
  <c r="H244" i="62"/>
  <c r="H375" i="62"/>
  <c r="H312" i="62"/>
  <c r="H300" i="62"/>
  <c r="H330" i="62"/>
  <c r="H256" i="62"/>
  <c r="H314" i="62"/>
  <c r="H365" i="62"/>
  <c r="H238" i="62"/>
  <c r="H257" i="62"/>
  <c r="H294" i="62"/>
  <c r="H323" i="62"/>
  <c r="H362" i="62"/>
  <c r="H322" i="62"/>
  <c r="H254" i="62"/>
  <c r="H366" i="62"/>
  <c r="H101" i="62"/>
  <c r="H17" i="62" s="1"/>
  <c r="H290" i="62"/>
  <c r="H292" i="62"/>
  <c r="H296" i="62"/>
  <c r="H381" i="62"/>
  <c r="H369" i="62"/>
  <c r="H113" i="62"/>
  <c r="H18" i="62" s="1"/>
  <c r="G58" i="61" s="1"/>
  <c r="H285" i="62"/>
  <c r="H361" i="62"/>
  <c r="H268" i="62"/>
  <c r="H329" i="62"/>
  <c r="H307" i="62"/>
  <c r="H270" i="62"/>
  <c r="H229" i="62"/>
  <c r="H20" i="62" s="1"/>
  <c r="G60" i="61" s="1"/>
  <c r="H266" i="62"/>
  <c r="H273" i="62"/>
  <c r="H349" i="62"/>
  <c r="H267" i="62"/>
  <c r="H310" i="62"/>
  <c r="H280" i="62"/>
  <c r="H301" i="62"/>
  <c r="H373" i="62"/>
  <c r="H279" i="62"/>
  <c r="H271" i="62"/>
  <c r="H293" i="62"/>
  <c r="H354" i="62"/>
  <c r="H313" i="62"/>
  <c r="H283" i="62"/>
  <c r="H319" i="62"/>
  <c r="H236" i="62"/>
  <c r="H260" i="62"/>
  <c r="H324" i="62"/>
  <c r="H81" i="62"/>
  <c r="H15" i="62" s="1"/>
  <c r="G55" i="61" s="1"/>
  <c r="H125" i="62"/>
  <c r="H19" i="62" s="1"/>
  <c r="G59" i="61" s="1"/>
  <c r="I10" i="62"/>
  <c r="G92" i="62"/>
  <c r="G93" i="62"/>
  <c r="G94" i="62"/>
  <c r="G95" i="62"/>
  <c r="G96" i="62"/>
  <c r="G97" i="62"/>
  <c r="G98" i="62"/>
  <c r="G99" i="62"/>
  <c r="G100" i="62"/>
  <c r="G84" i="62"/>
  <c r="G85" i="62"/>
  <c r="G87" i="62"/>
  <c r="G246" i="62" s="1"/>
  <c r="G79" i="62"/>
  <c r="G117" i="62"/>
  <c r="G119" i="62"/>
  <c r="G121" i="62"/>
  <c r="G134" i="62"/>
  <c r="G138" i="62"/>
  <c r="G139" i="62"/>
  <c r="G140" i="62"/>
  <c r="G141" i="62"/>
  <c r="G142" i="62"/>
  <c r="G78" i="62"/>
  <c r="G144" i="62"/>
  <c r="G145" i="62"/>
  <c r="G146" i="62"/>
  <c r="G105" i="62"/>
  <c r="G107" i="62"/>
  <c r="G109" i="62"/>
  <c r="G111" i="62"/>
  <c r="G118" i="62"/>
  <c r="G124" i="62"/>
  <c r="G147" i="62"/>
  <c r="G157" i="62"/>
  <c r="G158" i="62"/>
  <c r="G159" i="62"/>
  <c r="G160" i="62"/>
  <c r="G180" i="62"/>
  <c r="G181" i="62"/>
  <c r="G182" i="62"/>
  <c r="G183" i="62"/>
  <c r="G184" i="62"/>
  <c r="G185" i="62"/>
  <c r="G205" i="62"/>
  <c r="G206" i="62"/>
  <c r="G207" i="62"/>
  <c r="G208" i="62"/>
  <c r="G209" i="62"/>
  <c r="G151" i="62"/>
  <c r="G153" i="62"/>
  <c r="G162" i="62"/>
  <c r="G163" i="62"/>
  <c r="G164" i="62"/>
  <c r="G165" i="62"/>
  <c r="G166" i="62"/>
  <c r="G187" i="62"/>
  <c r="G188" i="62"/>
  <c r="G189" i="62"/>
  <c r="G190" i="62"/>
  <c r="G191" i="62"/>
  <c r="G106" i="62"/>
  <c r="G116" i="62"/>
  <c r="G120" i="62"/>
  <c r="G122" i="62"/>
  <c r="G170" i="62"/>
  <c r="G174" i="62"/>
  <c r="G175" i="62"/>
  <c r="G176" i="62"/>
  <c r="G177" i="62"/>
  <c r="G178" i="62"/>
  <c r="G193" i="62"/>
  <c r="G197" i="62"/>
  <c r="G200" i="62"/>
  <c r="G202" i="62"/>
  <c r="G211" i="62"/>
  <c r="G215" i="62"/>
  <c r="G217" i="62"/>
  <c r="G219" i="62"/>
  <c r="G221" i="62"/>
  <c r="G77" i="62"/>
  <c r="G104" i="62"/>
  <c r="G112" i="62"/>
  <c r="G136" i="62"/>
  <c r="G171" i="62"/>
  <c r="G194" i="62"/>
  <c r="G214" i="62"/>
  <c r="G224" i="62"/>
  <c r="G226" i="62"/>
  <c r="G108" i="62"/>
  <c r="G152" i="62"/>
  <c r="G154" i="62"/>
  <c r="G156" i="62"/>
  <c r="G201" i="62"/>
  <c r="G220" i="62"/>
  <c r="G223" i="62"/>
  <c r="G123" i="62"/>
  <c r="G199" i="62"/>
  <c r="G212" i="62"/>
  <c r="G213" i="62"/>
  <c r="G218" i="62"/>
  <c r="G168" i="62"/>
  <c r="G172" i="62"/>
  <c r="G195" i="62"/>
  <c r="G203" i="62"/>
  <c r="G148" i="62"/>
  <c r="G196" i="62"/>
  <c r="G169" i="62"/>
  <c r="G135" i="62"/>
  <c r="G110" i="62"/>
  <c r="G227" i="62"/>
  <c r="G225" i="62"/>
  <c r="F7" i="63"/>
  <c r="I74" i="46" s="1"/>
  <c r="H70" i="46"/>
  <c r="E20" i="63" s="1"/>
  <c r="H8" i="46"/>
  <c r="H8" i="47"/>
  <c r="H8" i="34"/>
  <c r="H55" i="34" s="1"/>
  <c r="H8" i="18"/>
  <c r="J9" i="41"/>
  <c r="I134" i="62" l="1"/>
  <c r="I288" i="62" s="1"/>
  <c r="I86" i="62"/>
  <c r="I245" i="62" s="1"/>
  <c r="I235" i="62"/>
  <c r="H79" i="46"/>
  <c r="I85" i="62"/>
  <c r="I244" i="62" s="1"/>
  <c r="I46" i="62"/>
  <c r="G57" i="61"/>
  <c r="H82" i="61"/>
  <c r="I359" i="62"/>
  <c r="I122" i="62"/>
  <c r="I283" i="62" s="1"/>
  <c r="I84" i="62"/>
  <c r="I243" i="62" s="1"/>
  <c r="I221" i="62"/>
  <c r="I375" i="62" s="1"/>
  <c r="I185" i="62"/>
  <c r="I339" i="62" s="1"/>
  <c r="I348" i="62"/>
  <c r="I93" i="62"/>
  <c r="I254" i="62" s="1"/>
  <c r="I157" i="62"/>
  <c r="I311" i="62" s="1"/>
  <c r="I227" i="62"/>
  <c r="I381" i="62" s="1"/>
  <c r="I142" i="62"/>
  <c r="I296" i="62" s="1"/>
  <c r="I107" i="62"/>
  <c r="I268" i="62" s="1"/>
  <c r="I214" i="62"/>
  <c r="I368" i="62" s="1"/>
  <c r="I310" i="62"/>
  <c r="I117" i="62"/>
  <c r="I278" i="62" s="1"/>
  <c r="I190" i="62"/>
  <c r="I344" i="62" s="1"/>
  <c r="I365" i="62"/>
  <c r="I203" i="62"/>
  <c r="I357" i="62" s="1"/>
  <c r="I184" i="62"/>
  <c r="I338" i="62" s="1"/>
  <c r="I225" i="62"/>
  <c r="I379" i="62" s="1"/>
  <c r="I147" i="62"/>
  <c r="I301" i="62" s="1"/>
  <c r="I220" i="62"/>
  <c r="I374" i="62" s="1"/>
  <c r="I347" i="62"/>
  <c r="I141" i="62"/>
  <c r="I295" i="62" s="1"/>
  <c r="I154" i="62"/>
  <c r="I308" i="62" s="1"/>
  <c r="I100" i="62"/>
  <c r="I261" i="62" s="1"/>
  <c r="I92" i="62"/>
  <c r="I253" i="62" s="1"/>
  <c r="I106" i="62"/>
  <c r="I267" i="62" s="1"/>
  <c r="I116" i="62"/>
  <c r="I277" i="62" s="1"/>
  <c r="I199" i="62"/>
  <c r="I353" i="62" s="1"/>
  <c r="I366" i="62"/>
  <c r="I181" i="62"/>
  <c r="I335" i="62" s="1"/>
  <c r="I208" i="62"/>
  <c r="I362" i="62" s="1"/>
  <c r="I176" i="62"/>
  <c r="I330" i="62" s="1"/>
  <c r="I217" i="62"/>
  <c r="I371" i="62" s="1"/>
  <c r="I170" i="62"/>
  <c r="I324" i="62" s="1"/>
  <c r="I292" i="62"/>
  <c r="I151" i="62"/>
  <c r="I305" i="62" s="1"/>
  <c r="I97" i="62"/>
  <c r="I258" i="62" s="1"/>
  <c r="I111" i="62"/>
  <c r="I272" i="62" s="1"/>
  <c r="I121" i="62"/>
  <c r="I282" i="62" s="1"/>
  <c r="I77" i="62"/>
  <c r="I237" i="62" s="1"/>
  <c r="I164" i="62"/>
  <c r="I318" i="62" s="1"/>
  <c r="I209" i="62"/>
  <c r="I363" i="62" s="1"/>
  <c r="I201" i="62"/>
  <c r="I355" i="62" s="1"/>
  <c r="I202" i="62"/>
  <c r="I356" i="62" s="1"/>
  <c r="I180" i="62"/>
  <c r="I334" i="62" s="1"/>
  <c r="I206" i="62"/>
  <c r="I360" i="62" s="1"/>
  <c r="I175" i="62"/>
  <c r="I329" i="62" s="1"/>
  <c r="I197" i="62"/>
  <c r="I351" i="62" s="1"/>
  <c r="I169" i="62"/>
  <c r="I323" i="62" s="1"/>
  <c r="I304" i="62"/>
  <c r="I96" i="62"/>
  <c r="I257" i="62" s="1"/>
  <c r="I110" i="62"/>
  <c r="I271" i="62" s="1"/>
  <c r="I120" i="62"/>
  <c r="I281" i="62" s="1"/>
  <c r="I236" i="62"/>
  <c r="H286" i="62"/>
  <c r="H240" i="62"/>
  <c r="H247" i="62"/>
  <c r="H262" i="62"/>
  <c r="G81" i="62"/>
  <c r="G15" i="62" s="1"/>
  <c r="F55" i="61" s="1"/>
  <c r="H89" i="62"/>
  <c r="H16" i="62" s="1"/>
  <c r="G56" i="61" s="1"/>
  <c r="I298" i="62"/>
  <c r="I187" i="62"/>
  <c r="I341" i="62" s="1"/>
  <c r="I207" i="62"/>
  <c r="I361" i="62" s="1"/>
  <c r="I163" i="62"/>
  <c r="I317" i="62" s="1"/>
  <c r="I145" i="62"/>
  <c r="I299" i="62" s="1"/>
  <c r="I160" i="62"/>
  <c r="I314" i="62" s="1"/>
  <c r="I200" i="62"/>
  <c r="I354" i="62" s="1"/>
  <c r="I183" i="62"/>
  <c r="I337" i="62" s="1"/>
  <c r="I166" i="62"/>
  <c r="I320" i="62" s="1"/>
  <c r="I223" i="62"/>
  <c r="I377" i="62" s="1"/>
  <c r="I188" i="62"/>
  <c r="I342" i="62" s="1"/>
  <c r="I178" i="62"/>
  <c r="I332" i="62" s="1"/>
  <c r="I174" i="62"/>
  <c r="I328" i="62" s="1"/>
  <c r="I219" i="62"/>
  <c r="I373" i="62" s="1"/>
  <c r="I196" i="62"/>
  <c r="I350" i="62" s="1"/>
  <c r="I172" i="62"/>
  <c r="I326" i="62" s="1"/>
  <c r="I168" i="62"/>
  <c r="I322" i="62" s="1"/>
  <c r="I140" i="62"/>
  <c r="I294" i="62" s="1"/>
  <c r="I136" i="62"/>
  <c r="I290" i="62" s="1"/>
  <c r="I153" i="62"/>
  <c r="I307" i="62" s="1"/>
  <c r="I124" i="62"/>
  <c r="I285" i="62" s="1"/>
  <c r="I99" i="62"/>
  <c r="I260" i="62" s="1"/>
  <c r="I95" i="62"/>
  <c r="I256" i="62" s="1"/>
  <c r="I87" i="62"/>
  <c r="I246" i="62" s="1"/>
  <c r="I109" i="62"/>
  <c r="I270" i="62" s="1"/>
  <c r="I105" i="62"/>
  <c r="I266" i="62" s="1"/>
  <c r="I119" i="62"/>
  <c r="I280" i="62" s="1"/>
  <c r="I79" i="62"/>
  <c r="I239" i="62" s="1"/>
  <c r="H383" i="62"/>
  <c r="I215" i="62"/>
  <c r="I369" i="62" s="1"/>
  <c r="I159" i="62"/>
  <c r="I313" i="62" s="1"/>
  <c r="I191" i="62"/>
  <c r="I345" i="62" s="1"/>
  <c r="I226" i="62"/>
  <c r="I380" i="62" s="1"/>
  <c r="I224" i="62"/>
  <c r="I378" i="62" s="1"/>
  <c r="I158" i="62"/>
  <c r="I312" i="62" s="1"/>
  <c r="I189" i="62"/>
  <c r="I343" i="62" s="1"/>
  <c r="I182" i="62"/>
  <c r="I336" i="62" s="1"/>
  <c r="I162" i="62"/>
  <c r="I316" i="62" s="1"/>
  <c r="I213" i="62"/>
  <c r="I367" i="62" s="1"/>
  <c r="I165" i="62"/>
  <c r="I319" i="62" s="1"/>
  <c r="I177" i="62"/>
  <c r="I331" i="62" s="1"/>
  <c r="I148" i="62"/>
  <c r="I302" i="62" s="1"/>
  <c r="I218" i="62"/>
  <c r="I372" i="62" s="1"/>
  <c r="I195" i="62"/>
  <c r="I349" i="62" s="1"/>
  <c r="I171" i="62"/>
  <c r="I325" i="62" s="1"/>
  <c r="I146" i="62"/>
  <c r="I300" i="62" s="1"/>
  <c r="I139" i="62"/>
  <c r="I293" i="62" s="1"/>
  <c r="I135" i="62"/>
  <c r="I289" i="62" s="1"/>
  <c r="I152" i="62"/>
  <c r="I306" i="62" s="1"/>
  <c r="I123" i="62"/>
  <c r="I284" i="62" s="1"/>
  <c r="I98" i="62"/>
  <c r="I259" i="62" s="1"/>
  <c r="I94" i="62"/>
  <c r="I255" i="62" s="1"/>
  <c r="I112" i="62"/>
  <c r="I273" i="62" s="1"/>
  <c r="I108" i="62"/>
  <c r="I269" i="62" s="1"/>
  <c r="I104" i="62"/>
  <c r="I265" i="62" s="1"/>
  <c r="I279" i="62"/>
  <c r="I78" i="62"/>
  <c r="I238" i="62" s="1"/>
  <c r="H127" i="62"/>
  <c r="H274" i="62"/>
  <c r="G271" i="62"/>
  <c r="G322" i="62"/>
  <c r="G355" i="62"/>
  <c r="G348" i="62"/>
  <c r="G371" i="62"/>
  <c r="G331" i="62"/>
  <c r="G125" i="62"/>
  <c r="G19" i="62" s="1"/>
  <c r="F59" i="61" s="1"/>
  <c r="G277" i="62"/>
  <c r="G319" i="62"/>
  <c r="G361" i="62"/>
  <c r="G334" i="62"/>
  <c r="G311" i="62"/>
  <c r="G236" i="62"/>
  <c r="G293" i="62"/>
  <c r="G257" i="62"/>
  <c r="I7" i="46"/>
  <c r="I56" i="46" s="1"/>
  <c r="J9" i="62"/>
  <c r="J45" i="62" s="1"/>
  <c r="G289" i="62"/>
  <c r="G357" i="62"/>
  <c r="G372" i="62"/>
  <c r="G284" i="62"/>
  <c r="G310" i="62"/>
  <c r="G380" i="62"/>
  <c r="G325" i="62"/>
  <c r="G237" i="62"/>
  <c r="G369" i="62"/>
  <c r="G351" i="62"/>
  <c r="G330" i="62"/>
  <c r="G304" i="62"/>
  <c r="G267" i="62"/>
  <c r="G342" i="62"/>
  <c r="G318" i="62"/>
  <c r="G305" i="62"/>
  <c r="G360" i="62"/>
  <c r="G337" i="62"/>
  <c r="G314" i="62"/>
  <c r="G301" i="62"/>
  <c r="G270" i="62"/>
  <c r="G300" i="62"/>
  <c r="G296" i="62"/>
  <c r="G292" i="62"/>
  <c r="G278" i="62"/>
  <c r="G260" i="62"/>
  <c r="G256" i="62"/>
  <c r="G379" i="62"/>
  <c r="G323" i="62"/>
  <c r="G349" i="62"/>
  <c r="G367" i="62"/>
  <c r="G377" i="62"/>
  <c r="G308" i="62"/>
  <c r="G378" i="62"/>
  <c r="G290" i="62"/>
  <c r="G375" i="62"/>
  <c r="G365" i="62"/>
  <c r="G347" i="62"/>
  <c r="G329" i="62"/>
  <c r="G283" i="62"/>
  <c r="G345" i="62"/>
  <c r="G341" i="62"/>
  <c r="G317" i="62"/>
  <c r="G363" i="62"/>
  <c r="G359" i="62"/>
  <c r="G336" i="62"/>
  <c r="G313" i="62"/>
  <c r="G285" i="62"/>
  <c r="G268" i="62"/>
  <c r="G299" i="62"/>
  <c r="G295" i="62"/>
  <c r="G229" i="62"/>
  <c r="G20" i="62" s="1"/>
  <c r="F60" i="61" s="1"/>
  <c r="G288" i="62"/>
  <c r="G239" i="62"/>
  <c r="G244" i="62"/>
  <c r="G259" i="62"/>
  <c r="G255" i="62"/>
  <c r="G302" i="62"/>
  <c r="G353" i="62"/>
  <c r="G269" i="62"/>
  <c r="G265" i="62"/>
  <c r="G113" i="62"/>
  <c r="G18" i="62" s="1"/>
  <c r="F58" i="61" s="1"/>
  <c r="G354" i="62"/>
  <c r="G324" i="62"/>
  <c r="G343" i="62"/>
  <c r="G307" i="62"/>
  <c r="G338" i="62"/>
  <c r="G272" i="62"/>
  <c r="G238" i="62"/>
  <c r="G280" i="62"/>
  <c r="G261" i="62"/>
  <c r="G101" i="62"/>
  <c r="G17" i="62" s="1"/>
  <c r="G253" i="62"/>
  <c r="G381" i="62"/>
  <c r="G350" i="62"/>
  <c r="G326" i="62"/>
  <c r="G366" i="62"/>
  <c r="G374" i="62"/>
  <c r="G306" i="62"/>
  <c r="G368" i="62"/>
  <c r="G273" i="62"/>
  <c r="G373" i="62"/>
  <c r="G356" i="62"/>
  <c r="G332" i="62"/>
  <c r="G328" i="62"/>
  <c r="G281" i="62"/>
  <c r="G344" i="62"/>
  <c r="G320" i="62"/>
  <c r="G316" i="62"/>
  <c r="G362" i="62"/>
  <c r="G339" i="62"/>
  <c r="G335" i="62"/>
  <c r="G312" i="62"/>
  <c r="G279" i="62"/>
  <c r="G266" i="62"/>
  <c r="G298" i="62"/>
  <c r="G294" i="62"/>
  <c r="G282" i="62"/>
  <c r="G235" i="62"/>
  <c r="G243" i="62"/>
  <c r="G258" i="62"/>
  <c r="G254" i="62"/>
  <c r="H37" i="18"/>
  <c r="H71" i="46"/>
  <c r="I7" i="34"/>
  <c r="I54" i="34" s="1"/>
  <c r="F8" i="63"/>
  <c r="I75" i="46" s="1"/>
  <c r="I286" i="62" l="1"/>
  <c r="G61" i="61"/>
  <c r="F57" i="61"/>
  <c r="G82" i="61"/>
  <c r="H21" i="62"/>
  <c r="H394" i="62" s="1"/>
  <c r="I101" i="62"/>
  <c r="I17" i="62" s="1"/>
  <c r="H57" i="61" s="1"/>
  <c r="H230" i="62"/>
  <c r="I125" i="62"/>
  <c r="I19" i="62" s="1"/>
  <c r="H59" i="61" s="1"/>
  <c r="H128" i="62"/>
  <c r="I229" i="62"/>
  <c r="I20" i="62" s="1"/>
  <c r="H249" i="62"/>
  <c r="H387" i="62" s="1"/>
  <c r="I113" i="62"/>
  <c r="I18" i="62" s="1"/>
  <c r="H58" i="61" s="1"/>
  <c r="I81" i="62"/>
  <c r="I15" i="62" s="1"/>
  <c r="H55" i="61" s="1"/>
  <c r="I57" i="46"/>
  <c r="I70" i="46" s="1"/>
  <c r="G240" i="62"/>
  <c r="G127" i="62"/>
  <c r="G230" i="62" s="1"/>
  <c r="I247" i="62"/>
  <c r="I8" i="34"/>
  <c r="I55" i="34" s="1"/>
  <c r="J10" i="62"/>
  <c r="G262" i="62"/>
  <c r="G89" i="62"/>
  <c r="G16" i="62" s="1"/>
  <c r="G247" i="62"/>
  <c r="G274" i="62"/>
  <c r="G383" i="62"/>
  <c r="G286" i="62"/>
  <c r="F72" i="18"/>
  <c r="F71" i="18"/>
  <c r="F70" i="18"/>
  <c r="F76" i="18"/>
  <c r="F77" i="18" s="1"/>
  <c r="I8" i="46"/>
  <c r="I8" i="18"/>
  <c r="I8" i="47"/>
  <c r="G7" i="63"/>
  <c r="J74" i="46" s="1"/>
  <c r="J75" i="62" l="1"/>
  <c r="J235" i="62" s="1"/>
  <c r="J86" i="62"/>
  <c r="J245" i="62" s="1"/>
  <c r="G12" i="34"/>
  <c r="J46" i="62"/>
  <c r="J134" i="62"/>
  <c r="J288" i="62" s="1"/>
  <c r="H25" i="62"/>
  <c r="H412" i="62"/>
  <c r="G94" i="61"/>
  <c r="G92" i="61"/>
  <c r="G93" i="61"/>
  <c r="I383" i="62"/>
  <c r="H389" i="62"/>
  <c r="I37" i="18"/>
  <c r="F20" i="63"/>
  <c r="I65" i="46"/>
  <c r="I68" i="46" s="1"/>
  <c r="I71" i="46" s="1"/>
  <c r="G21" i="62"/>
  <c r="G394" i="62" s="1"/>
  <c r="F56" i="61"/>
  <c r="F61" i="61" s="1"/>
  <c r="H406" i="62"/>
  <c r="H443" i="62"/>
  <c r="G34" i="34"/>
  <c r="G67" i="18"/>
  <c r="H409" i="62"/>
  <c r="G23" i="34"/>
  <c r="H60" i="61"/>
  <c r="I82" i="61"/>
  <c r="H33" i="62"/>
  <c r="I274" i="62"/>
  <c r="I262" i="62"/>
  <c r="I240" i="62"/>
  <c r="I89" i="62"/>
  <c r="I16" i="62" s="1"/>
  <c r="I127" i="62"/>
  <c r="I230" i="62" s="1"/>
  <c r="F79" i="18"/>
  <c r="J84" i="62"/>
  <c r="J243" i="62" s="1"/>
  <c r="J85" i="62"/>
  <c r="J244" i="62" s="1"/>
  <c r="J87" i="62"/>
  <c r="J246" i="62" s="1"/>
  <c r="J236" i="62"/>
  <c r="J77" i="62"/>
  <c r="J237" i="62" s="1"/>
  <c r="J78" i="62"/>
  <c r="J238" i="62" s="1"/>
  <c r="J79" i="62"/>
  <c r="J239" i="62" s="1"/>
  <c r="J116" i="62"/>
  <c r="J277" i="62" s="1"/>
  <c r="J104" i="62"/>
  <c r="J265" i="62" s="1"/>
  <c r="J105" i="62"/>
  <c r="J266" i="62" s="1"/>
  <c r="J106" i="62"/>
  <c r="J267" i="62" s="1"/>
  <c r="J107" i="62"/>
  <c r="J268" i="62" s="1"/>
  <c r="J108" i="62"/>
  <c r="J269" i="62" s="1"/>
  <c r="J109" i="62"/>
  <c r="J270" i="62" s="1"/>
  <c r="J110" i="62"/>
  <c r="J271" i="62" s="1"/>
  <c r="J111" i="62"/>
  <c r="J272" i="62" s="1"/>
  <c r="J112" i="62"/>
  <c r="J273" i="62" s="1"/>
  <c r="J279" i="62"/>
  <c r="J120" i="62"/>
  <c r="J281" i="62" s="1"/>
  <c r="J298" i="62"/>
  <c r="J145" i="62"/>
  <c r="J299" i="62" s="1"/>
  <c r="J146" i="62"/>
  <c r="J300" i="62" s="1"/>
  <c r="J147" i="62"/>
  <c r="J301" i="62" s="1"/>
  <c r="J148" i="62"/>
  <c r="J302" i="62" s="1"/>
  <c r="J92" i="62"/>
  <c r="J253" i="62" s="1"/>
  <c r="J93" i="62"/>
  <c r="J254" i="62" s="1"/>
  <c r="J94" i="62"/>
  <c r="J255" i="62" s="1"/>
  <c r="J95" i="62"/>
  <c r="J256" i="62" s="1"/>
  <c r="J96" i="62"/>
  <c r="J257" i="62" s="1"/>
  <c r="J97" i="62"/>
  <c r="J258" i="62" s="1"/>
  <c r="J98" i="62"/>
  <c r="J259" i="62" s="1"/>
  <c r="J99" i="62"/>
  <c r="J260" i="62" s="1"/>
  <c r="J100" i="62"/>
  <c r="J261" i="62" s="1"/>
  <c r="J122" i="62"/>
  <c r="J283" i="62" s="1"/>
  <c r="J123" i="62"/>
  <c r="J284" i="62" s="1"/>
  <c r="J124" i="62"/>
  <c r="J285" i="62" s="1"/>
  <c r="J119" i="62"/>
  <c r="J280" i="62" s="1"/>
  <c r="J135" i="62"/>
  <c r="J289" i="62" s="1"/>
  <c r="J136" i="62"/>
  <c r="J290" i="62" s="1"/>
  <c r="J310" i="62"/>
  <c r="J316" i="62"/>
  <c r="J163" i="62"/>
  <c r="J317" i="62" s="1"/>
  <c r="J164" i="62"/>
  <c r="J318" i="62" s="1"/>
  <c r="J165" i="62"/>
  <c r="J319" i="62" s="1"/>
  <c r="J166" i="62"/>
  <c r="J320" i="62" s="1"/>
  <c r="J187" i="62"/>
  <c r="J341" i="62" s="1"/>
  <c r="J188" i="62"/>
  <c r="J342" i="62" s="1"/>
  <c r="J189" i="62"/>
  <c r="J343" i="62" s="1"/>
  <c r="J190" i="62"/>
  <c r="J344" i="62" s="1"/>
  <c r="J191" i="62"/>
  <c r="J345" i="62" s="1"/>
  <c r="J365" i="62"/>
  <c r="J366" i="62"/>
  <c r="J213" i="62"/>
  <c r="J367" i="62" s="1"/>
  <c r="J214" i="62"/>
  <c r="J368" i="62" s="1"/>
  <c r="J215" i="62"/>
  <c r="J369" i="62" s="1"/>
  <c r="J117" i="62"/>
  <c r="J278" i="62" s="1"/>
  <c r="J292" i="62"/>
  <c r="J139" i="62"/>
  <c r="J293" i="62" s="1"/>
  <c r="J140" i="62"/>
  <c r="J294" i="62" s="1"/>
  <c r="J141" i="62"/>
  <c r="J295" i="62" s="1"/>
  <c r="J142" i="62"/>
  <c r="J296" i="62" s="1"/>
  <c r="J304" i="62"/>
  <c r="J152" i="62"/>
  <c r="J306" i="62" s="1"/>
  <c r="J154" i="62"/>
  <c r="J308" i="62" s="1"/>
  <c r="J168" i="62"/>
  <c r="J322" i="62" s="1"/>
  <c r="J169" i="62"/>
  <c r="J323" i="62" s="1"/>
  <c r="J170" i="62"/>
  <c r="J324" i="62" s="1"/>
  <c r="J171" i="62"/>
  <c r="J325" i="62" s="1"/>
  <c r="J172" i="62"/>
  <c r="J326" i="62" s="1"/>
  <c r="J347" i="62"/>
  <c r="J348" i="62"/>
  <c r="J195" i="62"/>
  <c r="J349" i="62" s="1"/>
  <c r="J196" i="62"/>
  <c r="J350" i="62" s="1"/>
  <c r="J197" i="62"/>
  <c r="J351" i="62" s="1"/>
  <c r="J153" i="62"/>
  <c r="J307" i="62" s="1"/>
  <c r="J157" i="62"/>
  <c r="J311" i="62" s="1"/>
  <c r="J158" i="62"/>
  <c r="J312" i="62" s="1"/>
  <c r="J159" i="62"/>
  <c r="J313" i="62" s="1"/>
  <c r="J160" i="62"/>
  <c r="J314" i="62" s="1"/>
  <c r="J199" i="62"/>
  <c r="J353" i="62" s="1"/>
  <c r="J201" i="62"/>
  <c r="J355" i="62" s="1"/>
  <c r="J203" i="62"/>
  <c r="J357" i="62" s="1"/>
  <c r="J218" i="62"/>
  <c r="J372" i="62" s="1"/>
  <c r="J220" i="62"/>
  <c r="J374" i="62" s="1"/>
  <c r="J151" i="62"/>
  <c r="J305" i="62" s="1"/>
  <c r="J174" i="62"/>
  <c r="J328" i="62" s="1"/>
  <c r="J175" i="62"/>
  <c r="J329" i="62" s="1"/>
  <c r="J176" i="62"/>
  <c r="J330" i="62" s="1"/>
  <c r="J177" i="62"/>
  <c r="J331" i="62" s="1"/>
  <c r="J178" i="62"/>
  <c r="J332" i="62" s="1"/>
  <c r="J206" i="62"/>
  <c r="J360" i="62" s="1"/>
  <c r="J208" i="62"/>
  <c r="J362" i="62" s="1"/>
  <c r="J223" i="62"/>
  <c r="J377" i="62" s="1"/>
  <c r="J225" i="62"/>
  <c r="J379" i="62" s="1"/>
  <c r="J227" i="62"/>
  <c r="J381" i="62" s="1"/>
  <c r="J182" i="62"/>
  <c r="J336" i="62" s="1"/>
  <c r="J202" i="62"/>
  <c r="J356" i="62" s="1"/>
  <c r="J207" i="62"/>
  <c r="J361" i="62" s="1"/>
  <c r="J221" i="62"/>
  <c r="J375" i="62" s="1"/>
  <c r="J226" i="62"/>
  <c r="J380" i="62" s="1"/>
  <c r="J181" i="62"/>
  <c r="J335" i="62" s="1"/>
  <c r="J185" i="62"/>
  <c r="J339" i="62" s="1"/>
  <c r="J200" i="62"/>
  <c r="J354" i="62" s="1"/>
  <c r="J359" i="62"/>
  <c r="J219" i="62"/>
  <c r="J373" i="62" s="1"/>
  <c r="J224" i="62"/>
  <c r="J378" i="62" s="1"/>
  <c r="J121" i="62"/>
  <c r="J282" i="62" s="1"/>
  <c r="J180" i="62"/>
  <c r="J334" i="62" s="1"/>
  <c r="J184" i="62"/>
  <c r="J338" i="62" s="1"/>
  <c r="J209" i="62"/>
  <c r="J363" i="62" s="1"/>
  <c r="J217" i="62"/>
  <c r="J371" i="62" s="1"/>
  <c r="J183" i="62"/>
  <c r="J337" i="62" s="1"/>
  <c r="G249" i="62"/>
  <c r="G387" i="62" s="1"/>
  <c r="J7" i="46"/>
  <c r="J56" i="46" s="1"/>
  <c r="K9" i="62"/>
  <c r="K45" i="62" s="1"/>
  <c r="G128" i="62"/>
  <c r="G8" i="63"/>
  <c r="J75" i="46" s="1"/>
  <c r="J7" i="34"/>
  <c r="J54" i="34" s="1"/>
  <c r="Q128" i="38" l="1"/>
  <c r="M128" i="38"/>
  <c r="I128" i="38"/>
  <c r="J128" i="38"/>
  <c r="P128" i="38"/>
  <c r="L128" i="38"/>
  <c r="H128" i="38"/>
  <c r="O128" i="38"/>
  <c r="K128" i="38"/>
  <c r="G128" i="38"/>
  <c r="N128" i="38"/>
  <c r="F128" i="38"/>
  <c r="J286" i="62"/>
  <c r="I249" i="62"/>
  <c r="G95" i="61"/>
  <c r="G25" i="62"/>
  <c r="H95" i="61"/>
  <c r="G389" i="62"/>
  <c r="G403" i="62" s="1"/>
  <c r="G35" i="34"/>
  <c r="G412" i="62"/>
  <c r="I79" i="46"/>
  <c r="G33" i="62"/>
  <c r="G33" i="34"/>
  <c r="G17" i="34"/>
  <c r="H403" i="62"/>
  <c r="H30" i="62"/>
  <c r="G22" i="34"/>
  <c r="I21" i="62"/>
  <c r="I394" i="62" s="1"/>
  <c r="H56" i="61"/>
  <c r="H61" i="61" s="1"/>
  <c r="J57" i="46"/>
  <c r="J65" i="46" s="1"/>
  <c r="J68" i="46" s="1"/>
  <c r="G406" i="62"/>
  <c r="G443" i="62"/>
  <c r="F67" i="18"/>
  <c r="G409" i="62"/>
  <c r="H397" i="62"/>
  <c r="H400" i="62"/>
  <c r="I128" i="62"/>
  <c r="J229" i="62"/>
  <c r="J20" i="62" s="1"/>
  <c r="J125" i="62"/>
  <c r="J19" i="62" s="1"/>
  <c r="I59" i="61" s="1"/>
  <c r="J81" i="62"/>
  <c r="J15" i="62" s="1"/>
  <c r="I55" i="61" s="1"/>
  <c r="J8" i="47"/>
  <c r="K10" i="62"/>
  <c r="J101" i="62"/>
  <c r="J17" i="62" s="1"/>
  <c r="I57" i="61" s="1"/>
  <c r="J113" i="62"/>
  <c r="J18" i="62" s="1"/>
  <c r="I58" i="61" s="1"/>
  <c r="J8" i="34"/>
  <c r="J55" i="34" s="1"/>
  <c r="H7" i="63"/>
  <c r="K74" i="46" s="1"/>
  <c r="J8" i="46"/>
  <c r="J8" i="18"/>
  <c r="J70" i="46"/>
  <c r="G20" i="63" s="1"/>
  <c r="E23" i="38"/>
  <c r="D23" i="38" s="1"/>
  <c r="I387" i="62" l="1"/>
  <c r="I389" i="62" s="1"/>
  <c r="K75" i="62"/>
  <c r="K235" i="62" s="1"/>
  <c r="K86" i="62"/>
  <c r="K245" i="62" s="1"/>
  <c r="H12" i="34"/>
  <c r="K46" i="62"/>
  <c r="K134" i="62"/>
  <c r="K288" i="62" s="1"/>
  <c r="G30" i="62"/>
  <c r="I95" i="61"/>
  <c r="I25" i="62"/>
  <c r="G400" i="62"/>
  <c r="G34" i="62" s="1"/>
  <c r="H94" i="61"/>
  <c r="H92" i="61"/>
  <c r="H93" i="61"/>
  <c r="G397" i="62"/>
  <c r="H414" i="62"/>
  <c r="H67" i="18"/>
  <c r="I412" i="62"/>
  <c r="J79" i="46"/>
  <c r="H34" i="34"/>
  <c r="I33" i="62"/>
  <c r="H34" i="62"/>
  <c r="I406" i="62"/>
  <c r="H17" i="34"/>
  <c r="H33" i="34"/>
  <c r="I409" i="62"/>
  <c r="H35" i="34"/>
  <c r="H23" i="34"/>
  <c r="H22" i="34"/>
  <c r="I443" i="62"/>
  <c r="I60" i="61"/>
  <c r="J82" i="61"/>
  <c r="J274" i="62"/>
  <c r="J262" i="62"/>
  <c r="K7" i="46"/>
  <c r="K57" i="46" s="1"/>
  <c r="L9" i="62"/>
  <c r="L45" i="62" s="1"/>
  <c r="J127" i="62"/>
  <c r="J230" i="62" s="1"/>
  <c r="J89" i="62"/>
  <c r="J16" i="62" s="1"/>
  <c r="J247" i="62"/>
  <c r="J240" i="62"/>
  <c r="K92" i="62"/>
  <c r="K253" i="62" s="1"/>
  <c r="K93" i="62"/>
  <c r="K254" i="62" s="1"/>
  <c r="K94" i="62"/>
  <c r="K255" i="62" s="1"/>
  <c r="K95" i="62"/>
  <c r="K256" i="62" s="1"/>
  <c r="K96" i="62"/>
  <c r="K257" i="62" s="1"/>
  <c r="K97" i="62"/>
  <c r="K258" i="62" s="1"/>
  <c r="K98" i="62"/>
  <c r="K259" i="62" s="1"/>
  <c r="K99" i="62"/>
  <c r="K260" i="62" s="1"/>
  <c r="K100" i="62"/>
  <c r="K261" i="62" s="1"/>
  <c r="K84" i="62"/>
  <c r="K243" i="62" s="1"/>
  <c r="K85" i="62"/>
  <c r="K244" i="62" s="1"/>
  <c r="K87" i="62"/>
  <c r="K246" i="62" s="1"/>
  <c r="K236" i="62"/>
  <c r="K292" i="62"/>
  <c r="K139" i="62"/>
  <c r="K293" i="62" s="1"/>
  <c r="K140" i="62"/>
  <c r="K294" i="62" s="1"/>
  <c r="K141" i="62"/>
  <c r="K295" i="62" s="1"/>
  <c r="K142" i="62"/>
  <c r="K296" i="62" s="1"/>
  <c r="K79" i="62"/>
  <c r="K239" i="62" s="1"/>
  <c r="K104" i="62"/>
  <c r="K265" i="62" s="1"/>
  <c r="K105" i="62"/>
  <c r="K266" i="62" s="1"/>
  <c r="K106" i="62"/>
  <c r="K267" i="62" s="1"/>
  <c r="K107" i="62"/>
  <c r="K268" i="62" s="1"/>
  <c r="K108" i="62"/>
  <c r="K269" i="62" s="1"/>
  <c r="K109" i="62"/>
  <c r="K270" i="62" s="1"/>
  <c r="K110" i="62"/>
  <c r="K271" i="62" s="1"/>
  <c r="K111" i="62"/>
  <c r="K272" i="62" s="1"/>
  <c r="K112" i="62"/>
  <c r="K273" i="62" s="1"/>
  <c r="K116" i="62"/>
  <c r="K277" i="62" s="1"/>
  <c r="K279" i="62"/>
  <c r="K120" i="62"/>
  <c r="K281" i="62" s="1"/>
  <c r="K298" i="62"/>
  <c r="K145" i="62"/>
  <c r="K299" i="62" s="1"/>
  <c r="K146" i="62"/>
  <c r="K300" i="62" s="1"/>
  <c r="K121" i="62"/>
  <c r="K282" i="62" s="1"/>
  <c r="K122" i="62"/>
  <c r="K283" i="62" s="1"/>
  <c r="K151" i="62"/>
  <c r="K305" i="62" s="1"/>
  <c r="K153" i="62"/>
  <c r="K307" i="62" s="1"/>
  <c r="K157" i="62"/>
  <c r="K311" i="62" s="1"/>
  <c r="K158" i="62"/>
  <c r="K312" i="62" s="1"/>
  <c r="K159" i="62"/>
  <c r="K313" i="62" s="1"/>
  <c r="K160" i="62"/>
  <c r="K314" i="62" s="1"/>
  <c r="K180" i="62"/>
  <c r="K334" i="62" s="1"/>
  <c r="K181" i="62"/>
  <c r="K335" i="62" s="1"/>
  <c r="K182" i="62"/>
  <c r="K336" i="62" s="1"/>
  <c r="K183" i="62"/>
  <c r="K337" i="62" s="1"/>
  <c r="K184" i="62"/>
  <c r="K338" i="62" s="1"/>
  <c r="K185" i="62"/>
  <c r="K339" i="62" s="1"/>
  <c r="K359" i="62"/>
  <c r="K206" i="62"/>
  <c r="K360" i="62" s="1"/>
  <c r="K207" i="62"/>
  <c r="K361" i="62" s="1"/>
  <c r="K208" i="62"/>
  <c r="K362" i="62" s="1"/>
  <c r="K209" i="62"/>
  <c r="K363" i="62" s="1"/>
  <c r="K78" i="62"/>
  <c r="K238" i="62" s="1"/>
  <c r="K119" i="62"/>
  <c r="K280" i="62" s="1"/>
  <c r="K123" i="62"/>
  <c r="K284" i="62" s="1"/>
  <c r="K135" i="62"/>
  <c r="K289" i="62" s="1"/>
  <c r="K136" i="62"/>
  <c r="K290" i="62" s="1"/>
  <c r="K310" i="62"/>
  <c r="K316" i="62"/>
  <c r="K163" i="62"/>
  <c r="K317" i="62" s="1"/>
  <c r="K164" i="62"/>
  <c r="K318" i="62" s="1"/>
  <c r="K165" i="62"/>
  <c r="K319" i="62" s="1"/>
  <c r="K166" i="62"/>
  <c r="K320" i="62" s="1"/>
  <c r="K187" i="62"/>
  <c r="K341" i="62" s="1"/>
  <c r="K188" i="62"/>
  <c r="K342" i="62" s="1"/>
  <c r="K189" i="62"/>
  <c r="K343" i="62" s="1"/>
  <c r="K190" i="62"/>
  <c r="K344" i="62" s="1"/>
  <c r="K191" i="62"/>
  <c r="K345" i="62" s="1"/>
  <c r="K148" i="62"/>
  <c r="K302" i="62" s="1"/>
  <c r="K152" i="62"/>
  <c r="K306" i="62" s="1"/>
  <c r="K322" i="62"/>
  <c r="K172" i="62"/>
  <c r="K326" i="62" s="1"/>
  <c r="K195" i="62"/>
  <c r="K349" i="62" s="1"/>
  <c r="K214" i="62"/>
  <c r="K368" i="62" s="1"/>
  <c r="K224" i="62"/>
  <c r="K378" i="62" s="1"/>
  <c r="K226" i="62"/>
  <c r="K380" i="62" s="1"/>
  <c r="K147" i="62"/>
  <c r="K301" i="62" s="1"/>
  <c r="K304" i="62"/>
  <c r="K169" i="62"/>
  <c r="K323" i="62" s="1"/>
  <c r="K196" i="62"/>
  <c r="K350" i="62" s="1"/>
  <c r="K199" i="62"/>
  <c r="K353" i="62" s="1"/>
  <c r="K201" i="62"/>
  <c r="K355" i="62" s="1"/>
  <c r="K203" i="62"/>
  <c r="K357" i="62" s="1"/>
  <c r="K213" i="62"/>
  <c r="K367" i="62" s="1"/>
  <c r="K218" i="62"/>
  <c r="K372" i="62" s="1"/>
  <c r="K220" i="62"/>
  <c r="K374" i="62" s="1"/>
  <c r="K77" i="62"/>
  <c r="K237" i="62" s="1"/>
  <c r="K225" i="62"/>
  <c r="K379" i="62" s="1"/>
  <c r="K117" i="62"/>
  <c r="K278" i="62" s="1"/>
  <c r="K154" i="62"/>
  <c r="K308" i="62" s="1"/>
  <c r="K170" i="62"/>
  <c r="K324" i="62" s="1"/>
  <c r="K171" i="62"/>
  <c r="K325" i="62" s="1"/>
  <c r="K175" i="62"/>
  <c r="K329" i="62" s="1"/>
  <c r="K177" i="62"/>
  <c r="K331" i="62" s="1"/>
  <c r="K347" i="62"/>
  <c r="K348" i="62"/>
  <c r="K197" i="62"/>
  <c r="K351" i="62" s="1"/>
  <c r="K202" i="62"/>
  <c r="K356" i="62" s="1"/>
  <c r="K221" i="62"/>
  <c r="K375" i="62" s="1"/>
  <c r="K223" i="62"/>
  <c r="K377" i="62" s="1"/>
  <c r="K124" i="62"/>
  <c r="K285" i="62" s="1"/>
  <c r="K365" i="62"/>
  <c r="K215" i="62"/>
  <c r="K369" i="62" s="1"/>
  <c r="K217" i="62"/>
  <c r="K371" i="62" s="1"/>
  <c r="K176" i="62"/>
  <c r="K330" i="62" s="1"/>
  <c r="K200" i="62"/>
  <c r="K354" i="62" s="1"/>
  <c r="K174" i="62"/>
  <c r="K328" i="62" s="1"/>
  <c r="K178" i="62"/>
  <c r="K332" i="62" s="1"/>
  <c r="K366" i="62"/>
  <c r="K219" i="62"/>
  <c r="K373" i="62" s="1"/>
  <c r="K227" i="62"/>
  <c r="K381" i="62" s="1"/>
  <c r="J383" i="62"/>
  <c r="J37" i="18"/>
  <c r="J71" i="46"/>
  <c r="K7" i="34"/>
  <c r="K54" i="34" s="1"/>
  <c r="H8" i="63"/>
  <c r="K75" i="46" s="1"/>
  <c r="K70" i="46"/>
  <c r="H20" i="63" s="1"/>
  <c r="E20" i="38"/>
  <c r="I400" i="62" l="1"/>
  <c r="I34" i="62" s="1"/>
  <c r="I403" i="62"/>
  <c r="I30" i="62"/>
  <c r="I397" i="62"/>
  <c r="K286" i="62"/>
  <c r="H445" i="62"/>
  <c r="C35" i="38" s="1"/>
  <c r="G414" i="62"/>
  <c r="G445" i="62" s="1"/>
  <c r="P130" i="38"/>
  <c r="L130" i="38"/>
  <c r="H130" i="38"/>
  <c r="P129" i="38"/>
  <c r="L129" i="38"/>
  <c r="H129" i="38"/>
  <c r="O130" i="38"/>
  <c r="K130" i="38"/>
  <c r="G130" i="38"/>
  <c r="O129" i="38"/>
  <c r="K129" i="38"/>
  <c r="G129" i="38"/>
  <c r="I130" i="38"/>
  <c r="M129" i="38"/>
  <c r="N130" i="38"/>
  <c r="J130" i="38"/>
  <c r="F130" i="38"/>
  <c r="N129" i="38"/>
  <c r="J129" i="38"/>
  <c r="F129" i="38"/>
  <c r="Q130" i="38"/>
  <c r="M130" i="38"/>
  <c r="Q129" i="38"/>
  <c r="I129" i="38"/>
  <c r="K79" i="46"/>
  <c r="H415" i="62"/>
  <c r="H32" i="62"/>
  <c r="H35" i="62"/>
  <c r="J21" i="62"/>
  <c r="J394" i="62" s="1"/>
  <c r="I56" i="61"/>
  <c r="I61" i="61" s="1"/>
  <c r="K56" i="46"/>
  <c r="K65" i="46" s="1"/>
  <c r="K68" i="46" s="1"/>
  <c r="K71" i="46" s="1"/>
  <c r="I8" i="63"/>
  <c r="L75" i="46" s="1"/>
  <c r="L10" i="62"/>
  <c r="K101" i="62"/>
  <c r="K17" i="62" s="1"/>
  <c r="J57" i="61" s="1"/>
  <c r="J249" i="62"/>
  <c r="J387" i="62" s="1"/>
  <c r="K113" i="62"/>
  <c r="K18" i="62" s="1"/>
  <c r="J58" i="61" s="1"/>
  <c r="J128" i="62"/>
  <c r="K81" i="62"/>
  <c r="K15" i="62" s="1"/>
  <c r="J55" i="61" s="1"/>
  <c r="K229" i="62"/>
  <c r="K20" i="62" s="1"/>
  <c r="K125" i="62"/>
  <c r="K19" i="62" s="1"/>
  <c r="J59" i="61" s="1"/>
  <c r="K8" i="34"/>
  <c r="K55" i="34" s="1"/>
  <c r="K37" i="18"/>
  <c r="K8" i="47"/>
  <c r="K8" i="18"/>
  <c r="K8" i="46"/>
  <c r="I414" i="62" l="1"/>
  <c r="I445" i="62" s="1"/>
  <c r="G32" i="62"/>
  <c r="G35" i="62"/>
  <c r="G415" i="62"/>
  <c r="L75" i="62"/>
  <c r="L235" i="62" s="1"/>
  <c r="L86" i="62"/>
  <c r="L245" i="62" s="1"/>
  <c r="I12" i="34"/>
  <c r="L46" i="62"/>
  <c r="L134" i="62"/>
  <c r="L288" i="62" s="1"/>
  <c r="J95" i="61"/>
  <c r="J25" i="62"/>
  <c r="I93" i="61"/>
  <c r="I94" i="61"/>
  <c r="I92" i="61"/>
  <c r="J389" i="62"/>
  <c r="J30" i="62" s="1"/>
  <c r="J412" i="62"/>
  <c r="L7" i="18"/>
  <c r="I7" i="63"/>
  <c r="L74" i="46" s="1"/>
  <c r="F36" i="18"/>
  <c r="G37" i="62"/>
  <c r="C12" i="63" s="1"/>
  <c r="G36" i="18"/>
  <c r="H37" i="62"/>
  <c r="I23" i="34"/>
  <c r="I33" i="34"/>
  <c r="I35" i="34"/>
  <c r="I22" i="34"/>
  <c r="J33" i="62"/>
  <c r="J443" i="62"/>
  <c r="I17" i="34"/>
  <c r="J409" i="62"/>
  <c r="I67" i="18"/>
  <c r="I34" i="34"/>
  <c r="J406" i="62"/>
  <c r="J60" i="61"/>
  <c r="K82" i="61"/>
  <c r="L7" i="34"/>
  <c r="L54" i="34" s="1"/>
  <c r="M10" i="62"/>
  <c r="K262" i="62"/>
  <c r="K274" i="62"/>
  <c r="K127" i="62"/>
  <c r="K230" i="62" s="1"/>
  <c r="K383" i="62"/>
  <c r="L236" i="62"/>
  <c r="L77" i="62"/>
  <c r="L237" i="62" s="1"/>
  <c r="L78" i="62"/>
  <c r="L238" i="62" s="1"/>
  <c r="L79" i="62"/>
  <c r="L239" i="62" s="1"/>
  <c r="L104" i="62"/>
  <c r="L265" i="62" s="1"/>
  <c r="L105" i="62"/>
  <c r="L266" i="62" s="1"/>
  <c r="L106" i="62"/>
  <c r="L267" i="62" s="1"/>
  <c r="L107" i="62"/>
  <c r="L268" i="62" s="1"/>
  <c r="L108" i="62"/>
  <c r="L269" i="62" s="1"/>
  <c r="L109" i="62"/>
  <c r="L270" i="62" s="1"/>
  <c r="L110" i="62"/>
  <c r="L271" i="62" s="1"/>
  <c r="L111" i="62"/>
  <c r="L272" i="62" s="1"/>
  <c r="L112" i="62"/>
  <c r="L273" i="62" s="1"/>
  <c r="L92" i="62"/>
  <c r="L253" i="62" s="1"/>
  <c r="L93" i="62"/>
  <c r="L254" i="62" s="1"/>
  <c r="L94" i="62"/>
  <c r="L255" i="62" s="1"/>
  <c r="L95" i="62"/>
  <c r="L256" i="62" s="1"/>
  <c r="L96" i="62"/>
  <c r="L257" i="62" s="1"/>
  <c r="L97" i="62"/>
  <c r="L258" i="62" s="1"/>
  <c r="L98" i="62"/>
  <c r="L259" i="62" s="1"/>
  <c r="L99" i="62"/>
  <c r="L260" i="62" s="1"/>
  <c r="L100" i="62"/>
  <c r="L261" i="62" s="1"/>
  <c r="L85" i="62"/>
  <c r="L244" i="62" s="1"/>
  <c r="L117" i="62"/>
  <c r="L278" i="62" s="1"/>
  <c r="L119" i="62"/>
  <c r="L280" i="62" s="1"/>
  <c r="L121" i="62"/>
  <c r="L282" i="62" s="1"/>
  <c r="L135" i="62"/>
  <c r="L289" i="62" s="1"/>
  <c r="L136" i="62"/>
  <c r="L290" i="62" s="1"/>
  <c r="L310" i="62"/>
  <c r="L84" i="62"/>
  <c r="L243" i="62" s="1"/>
  <c r="L87" i="62"/>
  <c r="L246" i="62" s="1"/>
  <c r="L292" i="62"/>
  <c r="L139" i="62"/>
  <c r="L293" i="62" s="1"/>
  <c r="L140" i="62"/>
  <c r="L294" i="62" s="1"/>
  <c r="L141" i="62"/>
  <c r="L295" i="62" s="1"/>
  <c r="L142" i="62"/>
  <c r="L296" i="62" s="1"/>
  <c r="L145" i="62"/>
  <c r="L299" i="62" s="1"/>
  <c r="L147" i="62"/>
  <c r="L301" i="62" s="1"/>
  <c r="L174" i="62"/>
  <c r="L328" i="62" s="1"/>
  <c r="L175" i="62"/>
  <c r="L329" i="62" s="1"/>
  <c r="L176" i="62"/>
  <c r="L330" i="62" s="1"/>
  <c r="L177" i="62"/>
  <c r="L331" i="62" s="1"/>
  <c r="L178" i="62"/>
  <c r="L332" i="62" s="1"/>
  <c r="L199" i="62"/>
  <c r="L353" i="62" s="1"/>
  <c r="L200" i="62"/>
  <c r="L354" i="62" s="1"/>
  <c r="L201" i="62"/>
  <c r="L355" i="62" s="1"/>
  <c r="L202" i="62"/>
  <c r="L356" i="62" s="1"/>
  <c r="L203" i="62"/>
  <c r="L357" i="62" s="1"/>
  <c r="L223" i="62"/>
  <c r="L377" i="62" s="1"/>
  <c r="L224" i="62"/>
  <c r="L378" i="62" s="1"/>
  <c r="L225" i="62"/>
  <c r="L379" i="62" s="1"/>
  <c r="L226" i="62"/>
  <c r="L380" i="62" s="1"/>
  <c r="L227" i="62"/>
  <c r="L381" i="62" s="1"/>
  <c r="L120" i="62"/>
  <c r="L281" i="62" s="1"/>
  <c r="L122" i="62"/>
  <c r="L283" i="62" s="1"/>
  <c r="L146" i="62"/>
  <c r="L300" i="62" s="1"/>
  <c r="L151" i="62"/>
  <c r="L305" i="62" s="1"/>
  <c r="L153" i="62"/>
  <c r="L307" i="62" s="1"/>
  <c r="L157" i="62"/>
  <c r="L311" i="62" s="1"/>
  <c r="L158" i="62"/>
  <c r="L312" i="62" s="1"/>
  <c r="L159" i="62"/>
  <c r="L313" i="62" s="1"/>
  <c r="L160" i="62"/>
  <c r="L314" i="62" s="1"/>
  <c r="L180" i="62"/>
  <c r="L334" i="62" s="1"/>
  <c r="L181" i="62"/>
  <c r="L335" i="62" s="1"/>
  <c r="L182" i="62"/>
  <c r="L336" i="62" s="1"/>
  <c r="L183" i="62"/>
  <c r="L337" i="62" s="1"/>
  <c r="L184" i="62"/>
  <c r="L338" i="62" s="1"/>
  <c r="L185" i="62"/>
  <c r="L339" i="62" s="1"/>
  <c r="L123" i="62"/>
  <c r="L284" i="62" s="1"/>
  <c r="L298" i="62"/>
  <c r="L154" i="62"/>
  <c r="L308" i="62" s="1"/>
  <c r="L164" i="62"/>
  <c r="L318" i="62" s="1"/>
  <c r="L171" i="62"/>
  <c r="L325" i="62" s="1"/>
  <c r="L187" i="62"/>
  <c r="L341" i="62" s="1"/>
  <c r="L191" i="62"/>
  <c r="L345" i="62" s="1"/>
  <c r="L348" i="62"/>
  <c r="L359" i="62"/>
  <c r="L207" i="62"/>
  <c r="L361" i="62" s="1"/>
  <c r="L209" i="62"/>
  <c r="L363" i="62" s="1"/>
  <c r="L365" i="62"/>
  <c r="L215" i="62"/>
  <c r="L369" i="62" s="1"/>
  <c r="L217" i="62"/>
  <c r="L371" i="62" s="1"/>
  <c r="L219" i="62"/>
  <c r="L373" i="62" s="1"/>
  <c r="L221" i="62"/>
  <c r="L375" i="62" s="1"/>
  <c r="L116" i="62"/>
  <c r="L277" i="62" s="1"/>
  <c r="L279" i="62"/>
  <c r="L148" i="62"/>
  <c r="L302" i="62" s="1"/>
  <c r="L152" i="62"/>
  <c r="L306" i="62" s="1"/>
  <c r="L165" i="62"/>
  <c r="L319" i="62" s="1"/>
  <c r="L322" i="62"/>
  <c r="L172" i="62"/>
  <c r="L326" i="62" s="1"/>
  <c r="L188" i="62"/>
  <c r="L342" i="62" s="1"/>
  <c r="L195" i="62"/>
  <c r="L349" i="62" s="1"/>
  <c r="L214" i="62"/>
  <c r="L368" i="62" s="1"/>
  <c r="L124" i="62"/>
  <c r="L285" i="62" s="1"/>
  <c r="L206" i="62"/>
  <c r="L360" i="62" s="1"/>
  <c r="L304" i="62"/>
  <c r="L163" i="62"/>
  <c r="L317" i="62" s="1"/>
  <c r="L190" i="62"/>
  <c r="L344" i="62" s="1"/>
  <c r="L170" i="62"/>
  <c r="L324" i="62" s="1"/>
  <c r="L347" i="62"/>
  <c r="L218" i="62"/>
  <c r="L372" i="62" s="1"/>
  <c r="L220" i="62"/>
  <c r="L374" i="62" s="1"/>
  <c r="L166" i="62"/>
  <c r="L320" i="62" s="1"/>
  <c r="L189" i="62"/>
  <c r="L343" i="62" s="1"/>
  <c r="L196" i="62"/>
  <c r="L350" i="62" s="1"/>
  <c r="L316" i="62"/>
  <c r="L197" i="62"/>
  <c r="L351" i="62" s="1"/>
  <c r="L366" i="62"/>
  <c r="L169" i="62"/>
  <c r="L323" i="62" s="1"/>
  <c r="L208" i="62"/>
  <c r="L362" i="62" s="1"/>
  <c r="L213" i="62"/>
  <c r="L367" i="62" s="1"/>
  <c r="K89" i="62"/>
  <c r="K16" i="62" s="1"/>
  <c r="K240" i="62"/>
  <c r="K247" i="62"/>
  <c r="L7" i="46"/>
  <c r="M9" i="62"/>
  <c r="M45" i="62" s="1"/>
  <c r="L70" i="46"/>
  <c r="L8" i="46"/>
  <c r="L8" i="47"/>
  <c r="L8" i="18"/>
  <c r="L8" i="34"/>
  <c r="L55" i="34" s="1"/>
  <c r="K10" i="46"/>
  <c r="I415" i="62" l="1"/>
  <c r="I32" i="62"/>
  <c r="I35" i="62"/>
  <c r="L286" i="62"/>
  <c r="M86" i="62"/>
  <c r="M245" i="62" s="1"/>
  <c r="C245" i="62" s="1"/>
  <c r="M75" i="62"/>
  <c r="M235" i="62" s="1"/>
  <c r="F118" i="18"/>
  <c r="E14" i="45"/>
  <c r="M347" i="62"/>
  <c r="M134" i="62"/>
  <c r="M288" i="62" s="1"/>
  <c r="L17" i="13"/>
  <c r="K16" i="61" s="1"/>
  <c r="K32" i="61" s="1"/>
  <c r="L19" i="13"/>
  <c r="K75" i="18" s="1"/>
  <c r="L36" i="34"/>
  <c r="J403" i="62"/>
  <c r="J397" i="62"/>
  <c r="J400" i="62"/>
  <c r="J34" i="62" s="1"/>
  <c r="D12" i="63"/>
  <c r="K137" i="61"/>
  <c r="K138" i="61" s="1"/>
  <c r="K141" i="61" s="1"/>
  <c r="H9" i="63"/>
  <c r="E70" i="46"/>
  <c r="I20" i="63"/>
  <c r="I21" i="63" s="1"/>
  <c r="C38" i="63"/>
  <c r="C14" i="63"/>
  <c r="G39" i="62" s="1"/>
  <c r="H36" i="18"/>
  <c r="I37" i="62"/>
  <c r="E12" i="63" s="1"/>
  <c r="M84" i="62"/>
  <c r="M243" i="62" s="1"/>
  <c r="M46" i="62"/>
  <c r="M207" i="62"/>
  <c r="M361" i="62" s="1"/>
  <c r="K21" i="62"/>
  <c r="K394" i="62" s="1"/>
  <c r="J56" i="61"/>
  <c r="J61" i="61" s="1"/>
  <c r="M304" i="62"/>
  <c r="M201" i="62"/>
  <c r="M355" i="62" s="1"/>
  <c r="M108" i="62"/>
  <c r="M269" i="62" s="1"/>
  <c r="M157" i="62"/>
  <c r="M311" i="62" s="1"/>
  <c r="M181" i="62"/>
  <c r="M335" i="62" s="1"/>
  <c r="M174" i="62"/>
  <c r="M328" i="62" s="1"/>
  <c r="M316" i="62"/>
  <c r="M220" i="62"/>
  <c r="M374" i="62" s="1"/>
  <c r="M279" i="62"/>
  <c r="M165" i="62"/>
  <c r="M319" i="62" s="1"/>
  <c r="M142" i="62"/>
  <c r="M296" i="62" s="1"/>
  <c r="M136" i="62"/>
  <c r="M290" i="62" s="1"/>
  <c r="M85" i="62"/>
  <c r="M244" i="62" s="1"/>
  <c r="M146" i="62"/>
  <c r="M300" i="62" s="1"/>
  <c r="M214" i="62"/>
  <c r="M368" i="62" s="1"/>
  <c r="M191" i="62"/>
  <c r="M345" i="62" s="1"/>
  <c r="M292" i="62"/>
  <c r="M145" i="62"/>
  <c r="M299" i="62" s="1"/>
  <c r="M218" i="62"/>
  <c r="M372" i="62" s="1"/>
  <c r="M171" i="62"/>
  <c r="M325" i="62" s="1"/>
  <c r="M123" i="62"/>
  <c r="M284" i="62" s="1"/>
  <c r="M106" i="62"/>
  <c r="M267" i="62" s="1"/>
  <c r="M116" i="62"/>
  <c r="M277" i="62" s="1"/>
  <c r="M185" i="62"/>
  <c r="M339" i="62" s="1"/>
  <c r="M96" i="62"/>
  <c r="M257" i="62" s="1"/>
  <c r="M100" i="62"/>
  <c r="M261" i="62" s="1"/>
  <c r="M206" i="62"/>
  <c r="M360" i="62" s="1"/>
  <c r="M208" i="62"/>
  <c r="M362" i="62" s="1"/>
  <c r="M224" i="62"/>
  <c r="M378" i="62" s="1"/>
  <c r="M164" i="62"/>
  <c r="M318" i="62" s="1"/>
  <c r="M202" i="62"/>
  <c r="M356" i="62" s="1"/>
  <c r="M178" i="62"/>
  <c r="M332" i="62" s="1"/>
  <c r="M97" i="62"/>
  <c r="M258" i="62" s="1"/>
  <c r="M197" i="62"/>
  <c r="M351" i="62" s="1"/>
  <c r="M169" i="62"/>
  <c r="M323" i="62" s="1"/>
  <c r="M154" i="62"/>
  <c r="M308" i="62" s="1"/>
  <c r="M112" i="62"/>
  <c r="M273" i="62" s="1"/>
  <c r="M104" i="62"/>
  <c r="M265" i="62" s="1"/>
  <c r="M78" i="62"/>
  <c r="M238" i="62" s="1"/>
  <c r="M87" i="62"/>
  <c r="M246" i="62" s="1"/>
  <c r="M184" i="62"/>
  <c r="M338" i="62" s="1"/>
  <c r="M188" i="62"/>
  <c r="M342" i="62" s="1"/>
  <c r="M183" i="62"/>
  <c r="M337" i="62" s="1"/>
  <c r="M365" i="62"/>
  <c r="M159" i="62"/>
  <c r="M313" i="62" s="1"/>
  <c r="M190" i="62"/>
  <c r="M344" i="62" s="1"/>
  <c r="M176" i="62"/>
  <c r="M330" i="62" s="1"/>
  <c r="M93" i="62"/>
  <c r="M254" i="62" s="1"/>
  <c r="M195" i="62"/>
  <c r="M349" i="62" s="1"/>
  <c r="M148" i="62"/>
  <c r="M302" i="62" s="1"/>
  <c r="M152" i="62"/>
  <c r="M306" i="62" s="1"/>
  <c r="M110" i="62"/>
  <c r="M271" i="62" s="1"/>
  <c r="M120" i="62"/>
  <c r="M281" i="62" s="1"/>
  <c r="M236" i="62"/>
  <c r="M180" i="62"/>
  <c r="M334" i="62" s="1"/>
  <c r="M94" i="62"/>
  <c r="M255" i="62" s="1"/>
  <c r="M223" i="62"/>
  <c r="M377" i="62" s="1"/>
  <c r="M225" i="62"/>
  <c r="M379" i="62" s="1"/>
  <c r="M182" i="62"/>
  <c r="M336" i="62" s="1"/>
  <c r="M213" i="62"/>
  <c r="M367" i="62" s="1"/>
  <c r="M166" i="62"/>
  <c r="M320" i="62" s="1"/>
  <c r="M226" i="62"/>
  <c r="M380" i="62" s="1"/>
  <c r="M209" i="62"/>
  <c r="M363" i="62" s="1"/>
  <c r="M187" i="62"/>
  <c r="M341" i="62" s="1"/>
  <c r="M158" i="62"/>
  <c r="M312" i="62" s="1"/>
  <c r="M366" i="62"/>
  <c r="M163" i="62"/>
  <c r="M317" i="62" s="1"/>
  <c r="M98" i="62"/>
  <c r="M259" i="62" s="1"/>
  <c r="M175" i="62"/>
  <c r="M329" i="62" s="1"/>
  <c r="M99" i="62"/>
  <c r="M260" i="62" s="1"/>
  <c r="M221" i="62"/>
  <c r="M375" i="62" s="1"/>
  <c r="M217" i="62"/>
  <c r="M371" i="62" s="1"/>
  <c r="M348" i="62"/>
  <c r="M170" i="62"/>
  <c r="M324" i="62" s="1"/>
  <c r="M298" i="62"/>
  <c r="M151" i="62"/>
  <c r="M305" i="62" s="1"/>
  <c r="M122" i="62"/>
  <c r="M283" i="62" s="1"/>
  <c r="M109" i="62"/>
  <c r="M270" i="62" s="1"/>
  <c r="M105" i="62"/>
  <c r="M266" i="62" s="1"/>
  <c r="M119" i="62"/>
  <c r="M280" i="62" s="1"/>
  <c r="M239" i="62"/>
  <c r="K76" i="61"/>
  <c r="K80" i="61"/>
  <c r="K90" i="61"/>
  <c r="K114" i="61"/>
  <c r="K73" i="61"/>
  <c r="K79" i="61"/>
  <c r="K113" i="61"/>
  <c r="K77" i="61"/>
  <c r="K81" i="61"/>
  <c r="K87" i="61"/>
  <c r="K91" i="61"/>
  <c r="K72" i="61"/>
  <c r="K78" i="61"/>
  <c r="K71" i="61"/>
  <c r="L69" i="61"/>
  <c r="L84" i="61"/>
  <c r="M141" i="62"/>
  <c r="M295" i="62" s="1"/>
  <c r="M199" i="62"/>
  <c r="M353" i="62" s="1"/>
  <c r="M139" i="62"/>
  <c r="M293" i="62" s="1"/>
  <c r="M203" i="62"/>
  <c r="M357" i="62" s="1"/>
  <c r="M227" i="62"/>
  <c r="M381" i="62" s="1"/>
  <c r="M189" i="62"/>
  <c r="M343" i="62" s="1"/>
  <c r="M92" i="62"/>
  <c r="M253" i="62" s="1"/>
  <c r="M215" i="62"/>
  <c r="M369" i="62" s="1"/>
  <c r="M359" i="62"/>
  <c r="M160" i="62"/>
  <c r="M314" i="62" s="1"/>
  <c r="M310" i="62"/>
  <c r="M200" i="62"/>
  <c r="M354" i="62" s="1"/>
  <c r="M140" i="62"/>
  <c r="M294" i="62" s="1"/>
  <c r="M177" i="62"/>
  <c r="M331" i="62" s="1"/>
  <c r="M147" i="62"/>
  <c r="M301" i="62" s="1"/>
  <c r="M95" i="62"/>
  <c r="M256" i="62" s="1"/>
  <c r="M219" i="62"/>
  <c r="M373" i="62" s="1"/>
  <c r="M196" i="62"/>
  <c r="M350" i="62" s="1"/>
  <c r="M172" i="62"/>
  <c r="M326" i="62" s="1"/>
  <c r="M322" i="62"/>
  <c r="M135" i="62"/>
  <c r="M289" i="62" s="1"/>
  <c r="M153" i="62"/>
  <c r="M307" i="62" s="1"/>
  <c r="M124" i="62"/>
  <c r="M285" i="62" s="1"/>
  <c r="M111" i="62"/>
  <c r="M272" i="62" s="1"/>
  <c r="M107" i="62"/>
  <c r="M268" i="62" s="1"/>
  <c r="M121" i="62"/>
  <c r="M282" i="62" s="1"/>
  <c r="M117" i="62"/>
  <c r="M278" i="62" s="1"/>
  <c r="M77" i="62"/>
  <c r="M237" i="62" s="1"/>
  <c r="L57" i="46"/>
  <c r="L56" i="46"/>
  <c r="K249" i="62"/>
  <c r="K387" i="62" s="1"/>
  <c r="L101" i="62"/>
  <c r="L17" i="62" s="1"/>
  <c r="K57" i="61" s="1"/>
  <c r="L113" i="62"/>
  <c r="L18" i="62" s="1"/>
  <c r="K58" i="61" s="1"/>
  <c r="L125" i="62"/>
  <c r="L19" i="62" s="1"/>
  <c r="K59" i="61" s="1"/>
  <c r="K128" i="62"/>
  <c r="L229" i="62"/>
  <c r="L20" i="62" s="1"/>
  <c r="L81" i="62"/>
  <c r="L15" i="62" s="1"/>
  <c r="K55" i="61" s="1"/>
  <c r="K9" i="46"/>
  <c r="L4" i="53"/>
  <c r="L37" i="18"/>
  <c r="L64" i="13"/>
  <c r="L22" i="18" s="1"/>
  <c r="L137" i="18" s="1"/>
  <c r="L37" i="13"/>
  <c r="K11" i="34"/>
  <c r="L19" i="34" s="1"/>
  <c r="M286" i="62" l="1"/>
  <c r="J12" i="34"/>
  <c r="D37" i="18"/>
  <c r="L156" i="18"/>
  <c r="H33" i="63"/>
  <c r="H31" i="63"/>
  <c r="H21" i="63"/>
  <c r="K80" i="46" s="1"/>
  <c r="K95" i="61"/>
  <c r="K25" i="62"/>
  <c r="J414" i="62"/>
  <c r="J445" i="62" s="1"/>
  <c r="J93" i="61"/>
  <c r="J94" i="61"/>
  <c r="J92" i="61"/>
  <c r="K389" i="62"/>
  <c r="K30" i="62" s="1"/>
  <c r="K140" i="61"/>
  <c r="J34" i="34"/>
  <c r="K412" i="62"/>
  <c r="K142" i="61"/>
  <c r="L139" i="61"/>
  <c r="L144" i="61" s="1"/>
  <c r="L146" i="61" s="1"/>
  <c r="L28" i="62"/>
  <c r="K56" i="34"/>
  <c r="K76" i="46"/>
  <c r="F63" i="34"/>
  <c r="G41" i="62"/>
  <c r="F83" i="46"/>
  <c r="F51" i="61"/>
  <c r="L79" i="46"/>
  <c r="L80" i="46"/>
  <c r="B20" i="63"/>
  <c r="J22" i="34"/>
  <c r="J67" i="18"/>
  <c r="K33" i="62"/>
  <c r="J35" i="34"/>
  <c r="K443" i="62"/>
  <c r="J17" i="34"/>
  <c r="J33" i="34"/>
  <c r="J23" i="34"/>
  <c r="K409" i="62"/>
  <c r="K406" i="62"/>
  <c r="K60" i="61"/>
  <c r="L82" i="61"/>
  <c r="C323" i="62"/>
  <c r="C360" i="62"/>
  <c r="C325" i="62"/>
  <c r="C368" i="62"/>
  <c r="C289" i="62"/>
  <c r="C295" i="62"/>
  <c r="C294" i="62"/>
  <c r="C318" i="62"/>
  <c r="C380" i="62"/>
  <c r="C296" i="62"/>
  <c r="C260" i="62"/>
  <c r="C345" i="62"/>
  <c r="C334" i="62"/>
  <c r="C307" i="62"/>
  <c r="C350" i="62"/>
  <c r="C331" i="62"/>
  <c r="C314" i="62"/>
  <c r="C285" i="62"/>
  <c r="C253" i="62"/>
  <c r="C288" i="62"/>
  <c r="C301" i="62"/>
  <c r="K118" i="61"/>
  <c r="C237" i="62"/>
  <c r="C349" i="62"/>
  <c r="C284" i="62"/>
  <c r="M113" i="62"/>
  <c r="M18" i="62" s="1"/>
  <c r="L58" i="61" s="1"/>
  <c r="C254" i="62"/>
  <c r="M81" i="62"/>
  <c r="M15" i="62" s="1"/>
  <c r="L55" i="61" s="1"/>
  <c r="C324" i="62"/>
  <c r="C343" i="62"/>
  <c r="C353" i="62"/>
  <c r="M229" i="62"/>
  <c r="M20" i="62" s="1"/>
  <c r="L60" i="61" s="1"/>
  <c r="M125" i="62"/>
  <c r="M19" i="62" s="1"/>
  <c r="L59" i="61" s="1"/>
  <c r="M101" i="62"/>
  <c r="M17" i="62" s="1"/>
  <c r="L57" i="61" s="1"/>
  <c r="L65" i="46"/>
  <c r="L68" i="46" s="1"/>
  <c r="C268" i="62"/>
  <c r="L383" i="62"/>
  <c r="C359" i="62"/>
  <c r="C256" i="62"/>
  <c r="C356" i="62"/>
  <c r="C341" i="62"/>
  <c r="C332" i="62"/>
  <c r="C326" i="62"/>
  <c r="C330" i="62"/>
  <c r="C357" i="62"/>
  <c r="C335" i="62"/>
  <c r="C293" i="62"/>
  <c r="C366" i="62"/>
  <c r="C375" i="62"/>
  <c r="C267" i="62"/>
  <c r="C369" i="62"/>
  <c r="C273" i="62"/>
  <c r="C278" i="62"/>
  <c r="C311" i="62"/>
  <c r="C362" i="62"/>
  <c r="L89" i="62"/>
  <c r="L16" i="62" s="1"/>
  <c r="C255" i="62"/>
  <c r="C298" i="62"/>
  <c r="C279" i="62"/>
  <c r="C372" i="62"/>
  <c r="C258" i="62"/>
  <c r="C305" i="62"/>
  <c r="C277" i="62"/>
  <c r="C304" i="62"/>
  <c r="L274" i="62"/>
  <c r="C265" i="62"/>
  <c r="C269" i="62"/>
  <c r="C328" i="62"/>
  <c r="C308" i="62"/>
  <c r="C302" i="62"/>
  <c r="C316" i="62"/>
  <c r="C244" i="62"/>
  <c r="C270" i="62"/>
  <c r="L262" i="62"/>
  <c r="C257" i="62"/>
  <c r="C290" i="62"/>
  <c r="C348" i="62"/>
  <c r="C342" i="62"/>
  <c r="C351" i="62"/>
  <c r="C282" i="62"/>
  <c r="C336" i="62"/>
  <c r="C347" i="62"/>
  <c r="C246" i="62"/>
  <c r="C355" i="62"/>
  <c r="C361" i="62"/>
  <c r="C363" i="62"/>
  <c r="C344" i="62"/>
  <c r="M247" i="62"/>
  <c r="C261" i="62"/>
  <c r="C339" i="62"/>
  <c r="C354" i="62"/>
  <c r="L240" i="62"/>
  <c r="C235" i="62"/>
  <c r="C259" i="62"/>
  <c r="C322" i="62"/>
  <c r="C272" i="62"/>
  <c r="L247" i="62"/>
  <c r="C243" i="62"/>
  <c r="C337" i="62"/>
  <c r="C371" i="62"/>
  <c r="C317" i="62"/>
  <c r="C377" i="62"/>
  <c r="C236" i="62"/>
  <c r="C379" i="62"/>
  <c r="C373" i="62"/>
  <c r="C374" i="62"/>
  <c r="C238" i="62"/>
  <c r="C319" i="62"/>
  <c r="L127" i="62"/>
  <c r="L230" i="62" s="1"/>
  <c r="C280" i="62"/>
  <c r="C329" i="62"/>
  <c r="C306" i="62"/>
  <c r="C320" i="62"/>
  <c r="C381" i="62"/>
  <c r="L5" i="53"/>
  <c r="L6" i="53" s="1"/>
  <c r="M16" i="48"/>
  <c r="M32" i="48" s="1"/>
  <c r="I12" i="41"/>
  <c r="I28" i="41" s="1"/>
  <c r="L26" i="34"/>
  <c r="C37" i="18"/>
  <c r="K400" i="62" l="1"/>
  <c r="K34" i="62" s="1"/>
  <c r="K403" i="62"/>
  <c r="K397" i="62"/>
  <c r="I28" i="63"/>
  <c r="L42" i="18"/>
  <c r="L161" i="18" s="1"/>
  <c r="E79" i="46"/>
  <c r="M89" i="62"/>
  <c r="M16" i="62" s="1"/>
  <c r="L56" i="61" s="1"/>
  <c r="L61" i="61" s="1"/>
  <c r="J35" i="62"/>
  <c r="J32" i="62"/>
  <c r="L21" i="62"/>
  <c r="K56" i="61"/>
  <c r="K61" i="61" s="1"/>
  <c r="C283" i="62"/>
  <c r="C310" i="62"/>
  <c r="M274" i="62"/>
  <c r="C274" i="62" s="1"/>
  <c r="C300" i="62"/>
  <c r="M262" i="62"/>
  <c r="C271" i="62"/>
  <c r="C266" i="62"/>
  <c r="C299" i="62"/>
  <c r="C313" i="62"/>
  <c r="C378" i="62"/>
  <c r="C367" i="62"/>
  <c r="C365" i="62"/>
  <c r="C292" i="62"/>
  <c r="C312" i="62"/>
  <c r="C286" i="62"/>
  <c r="C281" i="62"/>
  <c r="M240" i="62"/>
  <c r="C338" i="62"/>
  <c r="M383" i="62"/>
  <c r="M127" i="62"/>
  <c r="M230" i="62" s="1"/>
  <c r="C239" i="62"/>
  <c r="E68" i="46"/>
  <c r="L71" i="46"/>
  <c r="J415" i="62"/>
  <c r="L249" i="62"/>
  <c r="L387" i="62" s="1"/>
  <c r="L128" i="62"/>
  <c r="C247" i="62"/>
  <c r="K31" i="18"/>
  <c r="K30" i="18"/>
  <c r="K115" i="18" s="1"/>
  <c r="K28" i="18"/>
  <c r="K113" i="18" s="1"/>
  <c r="K24" i="18"/>
  <c r="K109" i="18" s="1"/>
  <c r="K23" i="18"/>
  <c r="K108" i="18" s="1"/>
  <c r="K7" i="18"/>
  <c r="K6" i="18"/>
  <c r="K12" i="18" s="1"/>
  <c r="J31" i="18"/>
  <c r="J30" i="18"/>
  <c r="J115" i="18" s="1"/>
  <c r="J28" i="18"/>
  <c r="J113" i="18" s="1"/>
  <c r="J24" i="18"/>
  <c r="J109" i="18" s="1"/>
  <c r="J23" i="18"/>
  <c r="J108" i="18" s="1"/>
  <c r="J7" i="18"/>
  <c r="J6" i="18"/>
  <c r="J12" i="18" s="1"/>
  <c r="L32" i="34"/>
  <c r="L29" i="34"/>
  <c r="L28" i="34"/>
  <c r="K32" i="34"/>
  <c r="K29" i="34"/>
  <c r="K28" i="34"/>
  <c r="J10" i="46"/>
  <c r="L394" i="62" l="1"/>
  <c r="K12" i="34"/>
  <c r="C262" i="62"/>
  <c r="M249" i="62"/>
  <c r="I34" i="63"/>
  <c r="I35" i="63" s="1"/>
  <c r="I29" i="63"/>
  <c r="K36" i="34"/>
  <c r="K17" i="13"/>
  <c r="J16" i="61" s="1"/>
  <c r="J32" i="61" s="1"/>
  <c r="K19" i="13"/>
  <c r="J75" i="18" s="1"/>
  <c r="K414" i="62"/>
  <c r="K445" i="62" s="1"/>
  <c r="L95" i="61"/>
  <c r="L25" i="62"/>
  <c r="K92" i="61"/>
  <c r="K93" i="61"/>
  <c r="K94" i="61"/>
  <c r="C383" i="62"/>
  <c r="L389" i="62"/>
  <c r="L406" i="62"/>
  <c r="L412" i="62"/>
  <c r="K35" i="18"/>
  <c r="K60" i="18"/>
  <c r="K96" i="18"/>
  <c r="K133" i="18"/>
  <c r="J35" i="18"/>
  <c r="J96" i="18"/>
  <c r="J133" i="18"/>
  <c r="J60" i="18"/>
  <c r="J137" i="61"/>
  <c r="J138" i="61" s="1"/>
  <c r="J142" i="61" s="1"/>
  <c r="G9" i="63"/>
  <c r="M21" i="62"/>
  <c r="M394" i="62" s="1"/>
  <c r="L33" i="62"/>
  <c r="I36" i="18"/>
  <c r="J37" i="62"/>
  <c r="K67" i="18"/>
  <c r="L409" i="62"/>
  <c r="K33" i="34"/>
  <c r="K17" i="34"/>
  <c r="L443" i="62"/>
  <c r="K34" i="34"/>
  <c r="K35" i="34"/>
  <c r="K22" i="34"/>
  <c r="K23" i="34"/>
  <c r="C240" i="62"/>
  <c r="M128" i="62"/>
  <c r="J73" i="61"/>
  <c r="J79" i="61"/>
  <c r="J113" i="61"/>
  <c r="J114" i="61"/>
  <c r="J72" i="61"/>
  <c r="J78" i="61"/>
  <c r="J76" i="61"/>
  <c r="J80" i="61"/>
  <c r="J71" i="61"/>
  <c r="J77" i="61"/>
  <c r="J81" i="61"/>
  <c r="J87" i="61"/>
  <c r="J91" i="61"/>
  <c r="J90" i="61"/>
  <c r="K84" i="61"/>
  <c r="K69" i="61"/>
  <c r="J9" i="46"/>
  <c r="K4" i="53"/>
  <c r="K64" i="13"/>
  <c r="K22" i="18" s="1"/>
  <c r="K37" i="13"/>
  <c r="J11" i="34"/>
  <c r="K96" i="13"/>
  <c r="J19" i="18" s="1"/>
  <c r="K94" i="13"/>
  <c r="J17" i="18" s="1"/>
  <c r="L97" i="13"/>
  <c r="K20" i="18" s="1"/>
  <c r="L94" i="13"/>
  <c r="K17" i="18" s="1"/>
  <c r="J66" i="18"/>
  <c r="K27" i="34"/>
  <c r="L92" i="13"/>
  <c r="K15" i="18" s="1"/>
  <c r="K93" i="13"/>
  <c r="J16" i="18" s="1"/>
  <c r="K92" i="13"/>
  <c r="J15" i="18" s="1"/>
  <c r="K66" i="18"/>
  <c r="L93" i="13"/>
  <c r="K16" i="18" s="1"/>
  <c r="L96" i="13"/>
  <c r="K19" i="18" s="1"/>
  <c r="L98" i="13"/>
  <c r="K21" i="18" s="1"/>
  <c r="L102" i="13"/>
  <c r="K97" i="13"/>
  <c r="J20" i="18" s="1"/>
  <c r="K102" i="13"/>
  <c r="K98" i="13"/>
  <c r="J21" i="18" s="1"/>
  <c r="L33" i="34" l="1"/>
  <c r="K140" i="18"/>
  <c r="M387" i="62"/>
  <c r="M389" i="62" s="1"/>
  <c r="K138" i="18"/>
  <c r="J143" i="18"/>
  <c r="J138" i="18"/>
  <c r="M25" i="62"/>
  <c r="L12" i="34"/>
  <c r="K143" i="18"/>
  <c r="J140" i="18"/>
  <c r="C249" i="62"/>
  <c r="K141" i="18"/>
  <c r="K139" i="18"/>
  <c r="K163" i="18"/>
  <c r="K144" i="18"/>
  <c r="K159" i="18"/>
  <c r="K156" i="18"/>
  <c r="K151" i="18"/>
  <c r="K145" i="18"/>
  <c r="K93" i="18"/>
  <c r="L69" i="18"/>
  <c r="K162" i="18"/>
  <c r="K150" i="18"/>
  <c r="K148" i="18"/>
  <c r="K146" i="18"/>
  <c r="K137" i="18"/>
  <c r="K142" i="18"/>
  <c r="J141" i="18"/>
  <c r="J142" i="18"/>
  <c r="J139" i="18"/>
  <c r="J163" i="18"/>
  <c r="J159" i="18"/>
  <c r="J151" i="18"/>
  <c r="J93" i="18"/>
  <c r="J146" i="18"/>
  <c r="J148" i="18"/>
  <c r="J144" i="18"/>
  <c r="J156" i="18"/>
  <c r="J145" i="18"/>
  <c r="J162" i="18"/>
  <c r="J150" i="18"/>
  <c r="K69" i="18"/>
  <c r="G33" i="63"/>
  <c r="G31" i="63"/>
  <c r="G21" i="63"/>
  <c r="J80" i="46" s="1"/>
  <c r="K19" i="34"/>
  <c r="L94" i="61"/>
  <c r="L92" i="61"/>
  <c r="L93" i="61"/>
  <c r="K139" i="61"/>
  <c r="K144" i="61" s="1"/>
  <c r="K146" i="61" s="1"/>
  <c r="J141" i="61"/>
  <c r="J140" i="61"/>
  <c r="F12" i="63"/>
  <c r="M412" i="62"/>
  <c r="M443" i="62"/>
  <c r="L23" i="34"/>
  <c r="L35" i="34"/>
  <c r="L67" i="18"/>
  <c r="C67" i="18" s="1"/>
  <c r="M409" i="62"/>
  <c r="J9" i="18"/>
  <c r="K9" i="18"/>
  <c r="M406" i="62"/>
  <c r="L17" i="34"/>
  <c r="M33" i="62"/>
  <c r="L34" i="34"/>
  <c r="L22" i="34"/>
  <c r="J56" i="34"/>
  <c r="J76" i="46"/>
  <c r="K28" i="62"/>
  <c r="K415" i="62"/>
  <c r="K32" i="62"/>
  <c r="K35" i="62"/>
  <c r="L403" i="62"/>
  <c r="L30" i="62"/>
  <c r="L397" i="62"/>
  <c r="L400" i="62"/>
  <c r="L34" i="62" s="1"/>
  <c r="J118" i="61"/>
  <c r="J29" i="18"/>
  <c r="J149" i="18" s="1"/>
  <c r="K29" i="18"/>
  <c r="K149" i="18" s="1"/>
  <c r="L9" i="53"/>
  <c r="K5" i="53"/>
  <c r="L16" i="48"/>
  <c r="L32" i="48" s="1"/>
  <c r="H12" i="41"/>
  <c r="H28" i="41" s="1"/>
  <c r="K26" i="34"/>
  <c r="K25" i="18"/>
  <c r="K147" i="18" s="1"/>
  <c r="J25" i="18"/>
  <c r="J147" i="18" s="1"/>
  <c r="K16" i="34"/>
  <c r="L27" i="34"/>
  <c r="L16" i="34"/>
  <c r="C389" i="62" l="1"/>
  <c r="M30" i="62"/>
  <c r="M403" i="62"/>
  <c r="M397" i="62"/>
  <c r="M400" i="62"/>
  <c r="M34" i="62" s="1"/>
  <c r="C30" i="62"/>
  <c r="K110" i="18"/>
  <c r="J114" i="18"/>
  <c r="J110" i="18"/>
  <c r="K114" i="18"/>
  <c r="K42" i="18"/>
  <c r="K161" i="18" s="1"/>
  <c r="H28" i="63"/>
  <c r="L414" i="62"/>
  <c r="L445" i="62" s="1"/>
  <c r="K6" i="53"/>
  <c r="L11" i="53" s="1"/>
  <c r="L15" i="53" s="1"/>
  <c r="M15" i="53" s="1"/>
  <c r="M29" i="53"/>
  <c r="J36" i="18"/>
  <c r="K37" i="62"/>
  <c r="C443" i="62"/>
  <c r="H28" i="18"/>
  <c r="I28" i="18"/>
  <c r="I113" i="18" s="1"/>
  <c r="M414" i="62" l="1"/>
  <c r="M445" i="62" s="1"/>
  <c r="M37" i="62" s="1"/>
  <c r="I12" i="63" s="1"/>
  <c r="J155" i="18"/>
  <c r="H34" i="63"/>
  <c r="H35" i="63" s="1"/>
  <c r="H29" i="63"/>
  <c r="H113" i="18"/>
  <c r="D28" i="18"/>
  <c r="G12" i="63"/>
  <c r="M35" i="53"/>
  <c r="M36" i="53" s="1"/>
  <c r="M37" i="53" s="1"/>
  <c r="M38" i="53" s="1"/>
  <c r="L32" i="62"/>
  <c r="L35" i="62"/>
  <c r="L415" i="62"/>
  <c r="C28" i="18"/>
  <c r="M32" i="62" l="1"/>
  <c r="C32" i="62" s="1"/>
  <c r="M35" i="62"/>
  <c r="M415" i="62"/>
  <c r="G13" i="63"/>
  <c r="K38" i="62" s="1"/>
  <c r="I13" i="63"/>
  <c r="M38" i="62" s="1"/>
  <c r="M39" i="53"/>
  <c r="M40" i="53"/>
  <c r="K36" i="18"/>
  <c r="L37" i="62"/>
  <c r="C445" i="62"/>
  <c r="L36" i="18"/>
  <c r="R16" i="35"/>
  <c r="R27" i="35"/>
  <c r="S27" i="35" s="1"/>
  <c r="R28" i="35"/>
  <c r="R29" i="35"/>
  <c r="R30" i="35"/>
  <c r="R31" i="35"/>
  <c r="R32" i="35"/>
  <c r="R33" i="35"/>
  <c r="R34" i="35"/>
  <c r="R35" i="35"/>
  <c r="R36" i="35"/>
  <c r="R37" i="35"/>
  <c r="R38" i="35"/>
  <c r="R39" i="35"/>
  <c r="R40" i="35"/>
  <c r="R41" i="35"/>
  <c r="S41" i="35" s="1"/>
  <c r="R14" i="35"/>
  <c r="K155" i="18" l="1"/>
  <c r="L155" i="18"/>
  <c r="P406" i="35"/>
  <c r="Q406" i="35" s="1"/>
  <c r="S36" i="35"/>
  <c r="AB36" i="35" s="1"/>
  <c r="P398" i="35"/>
  <c r="Q398" i="35" s="1"/>
  <c r="S28" i="35"/>
  <c r="AB28" i="35" s="1"/>
  <c r="P409" i="35"/>
  <c r="Q409" i="35" s="1"/>
  <c r="S39" i="35"/>
  <c r="AB39" i="35" s="1"/>
  <c r="P401" i="35"/>
  <c r="Q401" i="35" s="1"/>
  <c r="S31" i="35"/>
  <c r="AB31" i="35" s="1"/>
  <c r="U31" i="35" s="1"/>
  <c r="V31" i="35" s="1"/>
  <c r="P408" i="35"/>
  <c r="Q408" i="35" s="1"/>
  <c r="S38" i="35"/>
  <c r="AB38" i="35" s="1"/>
  <c r="P400" i="35"/>
  <c r="Q400" i="35" s="1"/>
  <c r="S30" i="35"/>
  <c r="AB30" i="35" s="1"/>
  <c r="U30" i="35" s="1"/>
  <c r="W30" i="35" s="1"/>
  <c r="P396" i="35"/>
  <c r="Q396" i="35" s="1"/>
  <c r="S16" i="35"/>
  <c r="P410" i="35"/>
  <c r="Q410" i="35" s="1"/>
  <c r="S40" i="35"/>
  <c r="AB40" i="35" s="1"/>
  <c r="U40" i="35" s="1"/>
  <c r="P402" i="35"/>
  <c r="Q402" i="35" s="1"/>
  <c r="S32" i="35"/>
  <c r="AB32" i="35" s="1"/>
  <c r="P405" i="35"/>
  <c r="Q405" i="35" s="1"/>
  <c r="S35" i="35"/>
  <c r="AB35" i="35" s="1"/>
  <c r="S14" i="35"/>
  <c r="AB14" i="35" s="1"/>
  <c r="P395" i="35"/>
  <c r="Q395" i="35" s="1"/>
  <c r="P404" i="35"/>
  <c r="Q404" i="35" s="1"/>
  <c r="S34" i="35"/>
  <c r="AB34" i="35" s="1"/>
  <c r="P407" i="35"/>
  <c r="Q407" i="35" s="1"/>
  <c r="S37" i="35"/>
  <c r="AB37" i="35" s="1"/>
  <c r="P403" i="35"/>
  <c r="Q403" i="35" s="1"/>
  <c r="S33" i="35"/>
  <c r="AB33" i="35" s="1"/>
  <c r="U33" i="35" s="1"/>
  <c r="P399" i="35"/>
  <c r="Q399" i="35" s="1"/>
  <c r="S29" i="35"/>
  <c r="AB29" i="35" s="1"/>
  <c r="P397" i="35"/>
  <c r="Q397" i="35" s="1"/>
  <c r="P411" i="35"/>
  <c r="Q411" i="35" s="1"/>
  <c r="AB41" i="35"/>
  <c r="D36" i="18"/>
  <c r="H12" i="63"/>
  <c r="C37" i="62"/>
  <c r="AA14" i="35"/>
  <c r="AA40" i="35"/>
  <c r="AA36" i="35"/>
  <c r="AA34" i="35"/>
  <c r="AA32" i="35"/>
  <c r="AA30" i="35"/>
  <c r="AA28" i="35"/>
  <c r="AA41" i="35"/>
  <c r="AA39" i="35"/>
  <c r="AA37" i="35"/>
  <c r="AA35" i="35"/>
  <c r="AA33" i="35"/>
  <c r="AA31" i="35"/>
  <c r="AA29" i="35"/>
  <c r="AB27" i="35"/>
  <c r="U27" i="35" s="1"/>
  <c r="W27" i="35" s="1"/>
  <c r="AA27" i="35"/>
  <c r="AA38" i="35"/>
  <c r="AA16" i="35"/>
  <c r="X40" i="35"/>
  <c r="Y40" i="35"/>
  <c r="X36" i="35"/>
  <c r="Y36" i="35"/>
  <c r="X32" i="35"/>
  <c r="Y32" i="35"/>
  <c r="X28" i="35"/>
  <c r="Y28" i="35"/>
  <c r="Y41" i="35"/>
  <c r="X41" i="35"/>
  <c r="Y37" i="35"/>
  <c r="X37" i="35"/>
  <c r="Y33" i="35"/>
  <c r="X33" i="35"/>
  <c r="Y29" i="35"/>
  <c r="X29" i="35"/>
  <c r="Y39" i="35"/>
  <c r="X39" i="35"/>
  <c r="Y35" i="35"/>
  <c r="X35" i="35"/>
  <c r="Y31" i="35"/>
  <c r="X31" i="35"/>
  <c r="X27" i="35"/>
  <c r="Y27" i="35"/>
  <c r="Y14" i="35"/>
  <c r="X14" i="35"/>
  <c r="Y38" i="35"/>
  <c r="X38" i="35"/>
  <c r="Y34" i="35"/>
  <c r="X34" i="35"/>
  <c r="Y30" i="35"/>
  <c r="X30" i="35"/>
  <c r="Y16" i="35"/>
  <c r="X16" i="35"/>
  <c r="E41" i="38"/>
  <c r="E44" i="38"/>
  <c r="E46" i="38"/>
  <c r="D46" i="38" s="1"/>
  <c r="E16" i="38"/>
  <c r="E18" i="38"/>
  <c r="E19" i="38"/>
  <c r="E21" i="38"/>
  <c r="E22" i="38"/>
  <c r="G30" i="38"/>
  <c r="T42" i="35"/>
  <c r="W33" i="35" l="1"/>
  <c r="V33" i="35"/>
  <c r="W40" i="35"/>
  <c r="V40" i="35"/>
  <c r="H13" i="63"/>
  <c r="L38" i="62" s="1"/>
  <c r="B12" i="63"/>
  <c r="V30" i="35"/>
  <c r="W31" i="35"/>
  <c r="G87" i="38"/>
  <c r="G111" i="38"/>
  <c r="G113" i="38"/>
  <c r="G116" i="38"/>
  <c r="G115" i="38"/>
  <c r="G108" i="38"/>
  <c r="G106" i="38"/>
  <c r="G103" i="38"/>
  <c r="G100" i="38"/>
  <c r="G96" i="38"/>
  <c r="G112" i="38"/>
  <c r="G110" i="38"/>
  <c r="G109" i="38"/>
  <c r="G107" i="38"/>
  <c r="G105" i="38"/>
  <c r="G102" i="38"/>
  <c r="G99" i="38"/>
  <c r="G95" i="38"/>
  <c r="G114" i="38"/>
  <c r="G104" i="38"/>
  <c r="G101" i="38"/>
  <c r="G98" i="38"/>
  <c r="G97" i="38"/>
  <c r="D41" i="38"/>
  <c r="AB16" i="35"/>
  <c r="AB42" i="35" s="1"/>
  <c r="AA42" i="35"/>
  <c r="V14" i="35"/>
  <c r="W14" i="35"/>
  <c r="J72" i="18"/>
  <c r="J86" i="18" s="1"/>
  <c r="G84" i="38"/>
  <c r="G88" i="38"/>
  <c r="G86" i="38"/>
  <c r="G85" i="38"/>
  <c r="G83" i="38"/>
  <c r="V27" i="35"/>
  <c r="J79" i="18"/>
  <c r="J76" i="18"/>
  <c r="G82" i="38"/>
  <c r="G81" i="38"/>
  <c r="G80" i="38"/>
  <c r="G79" i="38"/>
  <c r="G78" i="38"/>
  <c r="G77" i="38"/>
  <c r="G76" i="38"/>
  <c r="G75" i="38"/>
  <c r="G74" i="38"/>
  <c r="G73" i="38"/>
  <c r="J82" i="18" l="1"/>
  <c r="J77" i="18"/>
  <c r="J83" i="18"/>
  <c r="J80" i="18"/>
  <c r="L70" i="18"/>
  <c r="L84" i="18" s="1"/>
  <c r="G89" i="38"/>
  <c r="R42" i="35"/>
  <c r="J28" i="34"/>
  <c r="I28" i="34"/>
  <c r="I91" i="13" l="1"/>
  <c r="J91" i="13"/>
  <c r="L79" i="18"/>
  <c r="K79" i="18"/>
  <c r="K72" i="18"/>
  <c r="K86" i="18" s="1"/>
  <c r="L72" i="18"/>
  <c r="L86" i="18" s="1"/>
  <c r="K70" i="18"/>
  <c r="K84" i="18" s="1"/>
  <c r="K71" i="18"/>
  <c r="L71" i="18"/>
  <c r="L85" i="18" s="1"/>
  <c r="K38" i="45"/>
  <c r="L76" i="18"/>
  <c r="K76" i="18"/>
  <c r="H7" i="18"/>
  <c r="I7" i="18"/>
  <c r="H23" i="18"/>
  <c r="I23" i="18"/>
  <c r="I108" i="18" s="1"/>
  <c r="H24" i="18"/>
  <c r="I24" i="18"/>
  <c r="I109" i="18" s="1"/>
  <c r="H30" i="18"/>
  <c r="I30" i="18"/>
  <c r="I115" i="18" s="1"/>
  <c r="H31" i="18"/>
  <c r="I31" i="18"/>
  <c r="H6" i="18"/>
  <c r="H12" i="18" s="1"/>
  <c r="I6" i="18"/>
  <c r="I12" i="18" s="1"/>
  <c r="I29" i="34"/>
  <c r="J29" i="34"/>
  <c r="H32" i="34"/>
  <c r="I32" i="34"/>
  <c r="J32" i="34"/>
  <c r="H10" i="46"/>
  <c r="I10" i="46"/>
  <c r="K91" i="13" l="1"/>
  <c r="J135" i="18"/>
  <c r="M91" i="13"/>
  <c r="L135" i="18"/>
  <c r="L91" i="13"/>
  <c r="K135" i="18"/>
  <c r="K82" i="18"/>
  <c r="K77" i="18"/>
  <c r="K83" i="18"/>
  <c r="K80" i="18"/>
  <c r="L77" i="18"/>
  <c r="L82" i="18"/>
  <c r="L80" i="18"/>
  <c r="L83" i="18"/>
  <c r="G10" i="46"/>
  <c r="I17" i="13"/>
  <c r="H16" i="61" s="1"/>
  <c r="H32" i="61" s="1"/>
  <c r="H36" i="34"/>
  <c r="I19" i="13"/>
  <c r="H75" i="18" s="1"/>
  <c r="H19" i="13"/>
  <c r="G75" i="18" s="1"/>
  <c r="H17" i="13"/>
  <c r="G16" i="61" s="1"/>
  <c r="G32" i="61" s="1"/>
  <c r="J17" i="13"/>
  <c r="I16" i="61" s="1"/>
  <c r="I32" i="61" s="1"/>
  <c r="I36" i="34"/>
  <c r="J19" i="13"/>
  <c r="I75" i="18" s="1"/>
  <c r="J36" i="34"/>
  <c r="D31" i="18"/>
  <c r="H115" i="18"/>
  <c r="D30" i="18"/>
  <c r="H108" i="18"/>
  <c r="D23" i="18"/>
  <c r="H109" i="18"/>
  <c r="D24" i="18"/>
  <c r="D9" i="63"/>
  <c r="H35" i="18"/>
  <c r="H96" i="18"/>
  <c r="H133" i="18"/>
  <c r="H60" i="18"/>
  <c r="I35" i="18"/>
  <c r="I133" i="18"/>
  <c r="I60" i="18"/>
  <c r="I96" i="18"/>
  <c r="H137" i="61"/>
  <c r="H138" i="61" s="1"/>
  <c r="H140" i="61" s="1"/>
  <c r="E9" i="63"/>
  <c r="I137" i="61"/>
  <c r="I138" i="61" s="1"/>
  <c r="I140" i="61" s="1"/>
  <c r="F9" i="63"/>
  <c r="G114" i="61"/>
  <c r="G137" i="61"/>
  <c r="G138" i="61" s="1"/>
  <c r="H69" i="61"/>
  <c r="H71" i="61"/>
  <c r="H77" i="61"/>
  <c r="H81" i="61"/>
  <c r="H87" i="61"/>
  <c r="H91" i="61"/>
  <c r="H76" i="61"/>
  <c r="H80" i="61"/>
  <c r="H90" i="61"/>
  <c r="H114" i="61"/>
  <c r="H73" i="61"/>
  <c r="H79" i="61"/>
  <c r="H113" i="61"/>
  <c r="H72" i="61"/>
  <c r="H78" i="61"/>
  <c r="H84" i="61"/>
  <c r="G76" i="61"/>
  <c r="G80" i="61"/>
  <c r="G90" i="61"/>
  <c r="G73" i="61"/>
  <c r="G79" i="61"/>
  <c r="G113" i="61"/>
  <c r="G71" i="61"/>
  <c r="G91" i="61"/>
  <c r="G72" i="61"/>
  <c r="G78" i="61"/>
  <c r="G84" i="61"/>
  <c r="G69" i="61"/>
  <c r="G77" i="61"/>
  <c r="G81" i="61"/>
  <c r="G87" i="61"/>
  <c r="I72" i="61"/>
  <c r="I78" i="61"/>
  <c r="I84" i="61"/>
  <c r="I69" i="61"/>
  <c r="I71" i="61"/>
  <c r="I77" i="61"/>
  <c r="I81" i="61"/>
  <c r="I87" i="61"/>
  <c r="I91" i="61"/>
  <c r="I113" i="61"/>
  <c r="I76" i="61"/>
  <c r="I80" i="61"/>
  <c r="I90" i="61"/>
  <c r="I114" i="61"/>
  <c r="I73" i="61"/>
  <c r="I79" i="61"/>
  <c r="J84" i="61"/>
  <c r="J69" i="61"/>
  <c r="K85" i="18"/>
  <c r="C31" i="18"/>
  <c r="C24" i="18"/>
  <c r="C30" i="18"/>
  <c r="C23" i="18"/>
  <c r="H9" i="46"/>
  <c r="I4" i="53"/>
  <c r="G9" i="46"/>
  <c r="H4" i="53"/>
  <c r="I9" i="46"/>
  <c r="J4" i="53"/>
  <c r="I38" i="45"/>
  <c r="J38" i="45"/>
  <c r="J37" i="13"/>
  <c r="J64" i="13"/>
  <c r="H64" i="13"/>
  <c r="H37" i="13"/>
  <c r="I37" i="13"/>
  <c r="I64" i="13"/>
  <c r="H11" i="34"/>
  <c r="G11" i="34"/>
  <c r="G19" i="34" s="1"/>
  <c r="G36" i="34"/>
  <c r="I11" i="34"/>
  <c r="G66" i="18"/>
  <c r="I94" i="13"/>
  <c r="H17" i="18" s="1"/>
  <c r="I97" i="13"/>
  <c r="H20" i="18" s="1"/>
  <c r="I98" i="13"/>
  <c r="J94" i="13"/>
  <c r="I17" i="18" s="1"/>
  <c r="H91" i="13"/>
  <c r="J96" i="13"/>
  <c r="I19" i="18" s="1"/>
  <c r="I96" i="13"/>
  <c r="J93" i="13"/>
  <c r="I16" i="18" s="1"/>
  <c r="J92" i="13"/>
  <c r="I92" i="13"/>
  <c r="I93" i="13"/>
  <c r="H16" i="18" s="1"/>
  <c r="C16" i="38"/>
  <c r="D16" i="38" s="1"/>
  <c r="J98" i="13"/>
  <c r="I21" i="18" s="1"/>
  <c r="C21" i="38"/>
  <c r="D21" i="38" s="1"/>
  <c r="J102" i="13"/>
  <c r="I66" i="18"/>
  <c r="C37" i="38"/>
  <c r="D37" i="38" s="1"/>
  <c r="H102" i="13"/>
  <c r="I102" i="13"/>
  <c r="H66" i="18"/>
  <c r="J97" i="13"/>
  <c r="I109" i="13" l="1"/>
  <c r="J109" i="13"/>
  <c r="H109" i="13"/>
  <c r="D10" i="63" s="1"/>
  <c r="D11" i="63" s="1"/>
  <c r="K136" i="18"/>
  <c r="L109" i="13"/>
  <c r="L110" i="13" s="1"/>
  <c r="K33" i="18" s="1"/>
  <c r="L136" i="18"/>
  <c r="M109" i="13"/>
  <c r="M110" i="13" s="1"/>
  <c r="L33" i="18" s="1"/>
  <c r="J136" i="18"/>
  <c r="K109" i="13"/>
  <c r="L102" i="61"/>
  <c r="L161" i="61" s="1"/>
  <c r="L163" i="61" s="1"/>
  <c r="L38" i="18" s="1"/>
  <c r="L157" i="18" s="1"/>
  <c r="K102" i="61"/>
  <c r="J22" i="18"/>
  <c r="J137" i="18" s="1"/>
  <c r="I143" i="18"/>
  <c r="H140" i="18"/>
  <c r="I163" i="18"/>
  <c r="I162" i="18"/>
  <c r="I156" i="18"/>
  <c r="I150" i="18"/>
  <c r="I148" i="18"/>
  <c r="I146" i="18"/>
  <c r="I159" i="18"/>
  <c r="I155" i="18"/>
  <c r="I151" i="18"/>
  <c r="I145" i="18"/>
  <c r="I93" i="18"/>
  <c r="I144" i="18"/>
  <c r="J69" i="18"/>
  <c r="I139" i="18"/>
  <c r="C91" i="13"/>
  <c r="I141" i="18"/>
  <c r="I140" i="18"/>
  <c r="H142" i="18"/>
  <c r="H163" i="18"/>
  <c r="H156" i="18"/>
  <c r="H145" i="18"/>
  <c r="H159" i="18"/>
  <c r="H150" i="18"/>
  <c r="H146" i="18"/>
  <c r="H162" i="18"/>
  <c r="H155" i="18"/>
  <c r="H148" i="18"/>
  <c r="H144" i="18"/>
  <c r="H151" i="18"/>
  <c r="H93" i="18"/>
  <c r="I69" i="18"/>
  <c r="H139" i="18"/>
  <c r="G163" i="18"/>
  <c r="G155" i="18"/>
  <c r="G150" i="18"/>
  <c r="G148" i="18"/>
  <c r="G146" i="18"/>
  <c r="G144" i="18"/>
  <c r="H69" i="18"/>
  <c r="G162" i="18"/>
  <c r="G159" i="18"/>
  <c r="G156" i="18"/>
  <c r="G151" i="18"/>
  <c r="G145" i="18"/>
  <c r="E33" i="63"/>
  <c r="E31" i="63"/>
  <c r="E21" i="63"/>
  <c r="H80" i="46" s="1"/>
  <c r="E13" i="63"/>
  <c r="I38" i="62" s="1"/>
  <c r="F33" i="63"/>
  <c r="F31" i="63"/>
  <c r="F21" i="63"/>
  <c r="I80" i="46" s="1"/>
  <c r="F13" i="63"/>
  <c r="J38" i="62" s="1"/>
  <c r="G56" i="34"/>
  <c r="D33" i="63"/>
  <c r="D31" i="63"/>
  <c r="D21" i="63"/>
  <c r="G80" i="46" s="1"/>
  <c r="D13" i="63"/>
  <c r="H38" i="62" s="1"/>
  <c r="H19" i="34"/>
  <c r="H28" i="62"/>
  <c r="I19" i="34"/>
  <c r="J19" i="34"/>
  <c r="H21" i="18"/>
  <c r="H143" i="18" s="1"/>
  <c r="C98" i="13"/>
  <c r="H15" i="18"/>
  <c r="H138" i="18" s="1"/>
  <c r="C92" i="13"/>
  <c r="G76" i="46"/>
  <c r="C102" i="13"/>
  <c r="C20" i="38"/>
  <c r="D20" i="38" s="1"/>
  <c r="C97" i="13"/>
  <c r="C19" i="38"/>
  <c r="D19" i="38" s="1"/>
  <c r="C96" i="13"/>
  <c r="C17" i="38"/>
  <c r="D17" i="38" s="1"/>
  <c r="C93" i="13"/>
  <c r="C18" i="38"/>
  <c r="D18" i="38" s="1"/>
  <c r="C94" i="13"/>
  <c r="H142" i="61"/>
  <c r="H139" i="61"/>
  <c r="H141" i="61"/>
  <c r="I139" i="61"/>
  <c r="H9" i="18"/>
  <c r="I9" i="18"/>
  <c r="J139" i="61"/>
  <c r="J144" i="61" s="1"/>
  <c r="J146" i="61" s="1"/>
  <c r="I142" i="61"/>
  <c r="B9" i="63"/>
  <c r="I141" i="61"/>
  <c r="I28" i="62"/>
  <c r="H56" i="34"/>
  <c r="H76" i="46"/>
  <c r="J28" i="62"/>
  <c r="I56" i="34"/>
  <c r="I76" i="46"/>
  <c r="C66" i="18"/>
  <c r="G118" i="61"/>
  <c r="G140" i="61"/>
  <c r="G142" i="61"/>
  <c r="G139" i="61"/>
  <c r="G141" i="61"/>
  <c r="H118" i="61"/>
  <c r="J102" i="61"/>
  <c r="I118" i="61"/>
  <c r="C25" i="38"/>
  <c r="D25" i="38" s="1"/>
  <c r="C26" i="38"/>
  <c r="D26" i="38" s="1"/>
  <c r="H29" i="18"/>
  <c r="H149" i="18" s="1"/>
  <c r="I29" i="18"/>
  <c r="I149" i="18" s="1"/>
  <c r="G93" i="18"/>
  <c r="G9" i="18"/>
  <c r="I22" i="18"/>
  <c r="I137" i="18" s="1"/>
  <c r="C22" i="38"/>
  <c r="D22" i="38" s="1"/>
  <c r="J9" i="53"/>
  <c r="I5" i="53"/>
  <c r="I6" i="53" s="1"/>
  <c r="J16" i="48"/>
  <c r="J32" i="48" s="1"/>
  <c r="F12" i="41"/>
  <c r="F28" i="41" s="1"/>
  <c r="H26" i="34"/>
  <c r="H5" i="53"/>
  <c r="H6" i="53" s="1"/>
  <c r="I16" i="48"/>
  <c r="I32" i="48" s="1"/>
  <c r="E12" i="41"/>
  <c r="E28" i="41" s="1"/>
  <c r="G26" i="34"/>
  <c r="J5" i="53"/>
  <c r="J6" i="53" s="1"/>
  <c r="K16" i="48"/>
  <c r="K32" i="48" s="1"/>
  <c r="G12" i="41"/>
  <c r="G28" i="41" s="1"/>
  <c r="I26" i="34"/>
  <c r="J26" i="34"/>
  <c r="G25" i="18"/>
  <c r="G147" i="18" s="1"/>
  <c r="H25" i="18"/>
  <c r="H147" i="18" s="1"/>
  <c r="G16" i="34"/>
  <c r="G27" i="34"/>
  <c r="G16" i="18"/>
  <c r="D16" i="18" s="1"/>
  <c r="G17" i="18"/>
  <c r="G19" i="18"/>
  <c r="G141" i="18" s="1"/>
  <c r="G136" i="18"/>
  <c r="G135" i="18"/>
  <c r="G29" i="18"/>
  <c r="G149" i="18" s="1"/>
  <c r="G20" i="18"/>
  <c r="G142" i="18" s="1"/>
  <c r="G21" i="18"/>
  <c r="G143" i="18" s="1"/>
  <c r="G15" i="18"/>
  <c r="G138" i="18" s="1"/>
  <c r="G22" i="18"/>
  <c r="G137" i="18" s="1"/>
  <c r="Q30" i="38"/>
  <c r="M30" i="38"/>
  <c r="P30" i="38"/>
  <c r="N30" i="38"/>
  <c r="K30" i="38"/>
  <c r="J30" i="38"/>
  <c r="E38" i="38"/>
  <c r="E39" i="38"/>
  <c r="H19" i="18"/>
  <c r="I25" i="18"/>
  <c r="I147" i="18" s="1"/>
  <c r="I16" i="34"/>
  <c r="I27" i="34"/>
  <c r="C90" i="13"/>
  <c r="I15" i="18"/>
  <c r="I138" i="18" s="1"/>
  <c r="H16" i="34"/>
  <c r="H27" i="34"/>
  <c r="J27" i="34"/>
  <c r="J16" i="34"/>
  <c r="I20" i="18"/>
  <c r="I142" i="18" s="1"/>
  <c r="H135" i="18"/>
  <c r="L45" i="61" l="1"/>
  <c r="L46" i="61" s="1"/>
  <c r="J13" i="45"/>
  <c r="K45" i="61"/>
  <c r="K46" i="61" s="1"/>
  <c r="K13" i="45"/>
  <c r="I10" i="63"/>
  <c r="M29" i="62" s="1"/>
  <c r="L103" i="61"/>
  <c r="H10" i="63"/>
  <c r="L29" i="62" s="1"/>
  <c r="I16" i="63"/>
  <c r="I17" i="63" s="1"/>
  <c r="L48" i="61" s="1"/>
  <c r="K161" i="61"/>
  <c r="K163" i="61" s="1"/>
  <c r="K103" i="61"/>
  <c r="J161" i="61"/>
  <c r="J163" i="61" s="1"/>
  <c r="J103" i="61"/>
  <c r="G10" i="63"/>
  <c r="K110" i="13"/>
  <c r="J33" i="18" s="1"/>
  <c r="J45" i="61"/>
  <c r="J46" i="61" s="1"/>
  <c r="I13" i="45"/>
  <c r="G139" i="18"/>
  <c r="C139" i="18" s="1"/>
  <c r="H141" i="18"/>
  <c r="D17" i="18"/>
  <c r="G140" i="18"/>
  <c r="C140" i="18" s="1"/>
  <c r="D56" i="34"/>
  <c r="B33" i="63"/>
  <c r="B31" i="63"/>
  <c r="B21" i="63"/>
  <c r="E80" i="46" s="1"/>
  <c r="B13" i="63"/>
  <c r="C28" i="62"/>
  <c r="C163" i="18"/>
  <c r="H22" i="18"/>
  <c r="H137" i="18" s="1"/>
  <c r="C99" i="13"/>
  <c r="D21" i="18"/>
  <c r="I114" i="18"/>
  <c r="G110" i="18"/>
  <c r="D25" i="18"/>
  <c r="H114" i="18"/>
  <c r="D20" i="18"/>
  <c r="G107" i="18"/>
  <c r="D19" i="18"/>
  <c r="I110" i="18"/>
  <c r="G114" i="18"/>
  <c r="D29" i="18"/>
  <c r="H110" i="18"/>
  <c r="P87" i="38"/>
  <c r="P114" i="38"/>
  <c r="P112" i="38"/>
  <c r="P110" i="38"/>
  <c r="P115" i="38"/>
  <c r="P108" i="38"/>
  <c r="P106" i="38"/>
  <c r="P104" i="38"/>
  <c r="P102" i="38"/>
  <c r="P100" i="38"/>
  <c r="P98" i="38"/>
  <c r="P96" i="38"/>
  <c r="P113" i="38"/>
  <c r="P109" i="38"/>
  <c r="P105" i="38"/>
  <c r="P101" i="38"/>
  <c r="P97" i="38"/>
  <c r="P111" i="38"/>
  <c r="P116" i="38"/>
  <c r="P107" i="38"/>
  <c r="P103" i="38"/>
  <c r="P99" i="38"/>
  <c r="P95" i="38"/>
  <c r="Q87" i="38"/>
  <c r="Q114" i="38"/>
  <c r="Q115" i="38"/>
  <c r="Q106" i="38"/>
  <c r="Q102" i="38"/>
  <c r="Q98" i="38"/>
  <c r="Q96" i="38"/>
  <c r="Q113" i="38"/>
  <c r="Q111" i="38"/>
  <c r="Q116" i="38"/>
  <c r="Q109" i="38"/>
  <c r="Q107" i="38"/>
  <c r="Q105" i="38"/>
  <c r="Q103" i="38"/>
  <c r="Q101" i="38"/>
  <c r="Q99" i="38"/>
  <c r="Q97" i="38"/>
  <c r="Q95" i="38"/>
  <c r="Q112" i="38"/>
  <c r="Q110" i="38"/>
  <c r="Q108" i="38"/>
  <c r="Q104" i="38"/>
  <c r="Q100" i="38"/>
  <c r="D15" i="18"/>
  <c r="G28" i="63"/>
  <c r="H144" i="61"/>
  <c r="H146" i="61" s="1"/>
  <c r="C38" i="62"/>
  <c r="I144" i="61"/>
  <c r="I146" i="61" s="1"/>
  <c r="E76" i="46"/>
  <c r="J42" i="18"/>
  <c r="J161" i="18" s="1"/>
  <c r="C9" i="18"/>
  <c r="K29" i="53"/>
  <c r="J15" i="53"/>
  <c r="K15" i="53" s="1"/>
  <c r="H29" i="62"/>
  <c r="G77" i="46"/>
  <c r="G57" i="34"/>
  <c r="G144" i="61"/>
  <c r="G146" i="61" s="1"/>
  <c r="C38" i="38" s="1"/>
  <c r="D22" i="63"/>
  <c r="D23" i="63" s="1"/>
  <c r="D14" i="63"/>
  <c r="D15" i="63" s="1"/>
  <c r="G102" i="61"/>
  <c r="G45" i="61"/>
  <c r="M87" i="38"/>
  <c r="M111" i="38"/>
  <c r="M110" i="38"/>
  <c r="M116" i="38"/>
  <c r="M115" i="38"/>
  <c r="M108" i="38"/>
  <c r="M107" i="38"/>
  <c r="M104" i="38"/>
  <c r="M101" i="38"/>
  <c r="M98" i="38"/>
  <c r="M114" i="38"/>
  <c r="M113" i="38"/>
  <c r="M103" i="38"/>
  <c r="M100" i="38"/>
  <c r="M97" i="38"/>
  <c r="M96" i="38"/>
  <c r="M112" i="38"/>
  <c r="M109" i="38"/>
  <c r="M106" i="38"/>
  <c r="M105" i="38"/>
  <c r="M102" i="38"/>
  <c r="M99" i="38"/>
  <c r="M95" i="38"/>
  <c r="K87" i="38"/>
  <c r="K113" i="38"/>
  <c r="K112" i="38"/>
  <c r="K116" i="38"/>
  <c r="K115" i="38"/>
  <c r="K109" i="38"/>
  <c r="K108" i="38"/>
  <c r="K107" i="38"/>
  <c r="K106" i="38"/>
  <c r="K105" i="38"/>
  <c r="K104" i="38"/>
  <c r="K103" i="38"/>
  <c r="K102" i="38"/>
  <c r="K101" i="38"/>
  <c r="K100" i="38"/>
  <c r="K99" i="38"/>
  <c r="K98" i="38"/>
  <c r="K97" i="38"/>
  <c r="K96" i="38"/>
  <c r="K95" i="38"/>
  <c r="K111" i="38"/>
  <c r="K110" i="38"/>
  <c r="K114" i="38"/>
  <c r="N87" i="38"/>
  <c r="N114" i="38"/>
  <c r="N113" i="38"/>
  <c r="N112" i="38"/>
  <c r="N111" i="38"/>
  <c r="N110" i="38"/>
  <c r="N116" i="38"/>
  <c r="N115" i="38"/>
  <c r="N109" i="38"/>
  <c r="N108" i="38"/>
  <c r="N107" i="38"/>
  <c r="N106" i="38"/>
  <c r="N105" i="38"/>
  <c r="N104" i="38"/>
  <c r="N103" i="38"/>
  <c r="N102" i="38"/>
  <c r="N101" i="38"/>
  <c r="N100" i="38"/>
  <c r="N99" i="38"/>
  <c r="N98" i="38"/>
  <c r="N97" i="38"/>
  <c r="N96" i="38"/>
  <c r="N95" i="38"/>
  <c r="J87" i="38"/>
  <c r="J114" i="38"/>
  <c r="J113" i="38"/>
  <c r="J112" i="38"/>
  <c r="J116" i="38"/>
  <c r="J115" i="38"/>
  <c r="J109" i="38"/>
  <c r="J108" i="38"/>
  <c r="J107" i="38"/>
  <c r="J106" i="38"/>
  <c r="J105" i="38"/>
  <c r="J104" i="38"/>
  <c r="J103" i="38"/>
  <c r="J102" i="38"/>
  <c r="J101" i="38"/>
  <c r="J100" i="38"/>
  <c r="J99" i="38"/>
  <c r="J98" i="38"/>
  <c r="J97" i="38"/>
  <c r="J96" i="38"/>
  <c r="J95" i="38"/>
  <c r="J111" i="38"/>
  <c r="J110" i="38"/>
  <c r="D39" i="38"/>
  <c r="F14" i="38"/>
  <c r="F15" i="38" s="1"/>
  <c r="L152" i="18"/>
  <c r="L32" i="18"/>
  <c r="C138" i="18"/>
  <c r="C15" i="18"/>
  <c r="C150" i="18"/>
  <c r="C149" i="18"/>
  <c r="C29" i="18"/>
  <c r="C25" i="18"/>
  <c r="C19" i="18"/>
  <c r="C20" i="18"/>
  <c r="C143" i="18"/>
  <c r="C21" i="18"/>
  <c r="C148" i="18"/>
  <c r="C17" i="18"/>
  <c r="C16" i="18"/>
  <c r="C146" i="18"/>
  <c r="C156" i="18"/>
  <c r="C145" i="18"/>
  <c r="C162" i="18"/>
  <c r="C151" i="18"/>
  <c r="C159" i="18"/>
  <c r="E10" i="63"/>
  <c r="E11" i="63" s="1"/>
  <c r="G79" i="18"/>
  <c r="H110" i="13"/>
  <c r="G33" i="18" s="1"/>
  <c r="G76" i="18"/>
  <c r="G72" i="18"/>
  <c r="G70" i="18"/>
  <c r="G84" i="18" s="1"/>
  <c r="G71" i="18"/>
  <c r="H70" i="18"/>
  <c r="H84" i="18" s="1"/>
  <c r="F13" i="45"/>
  <c r="C30" i="38"/>
  <c r="F10" i="63"/>
  <c r="F11" i="63" s="1"/>
  <c r="C93" i="18"/>
  <c r="N84" i="38"/>
  <c r="N86" i="38"/>
  <c r="N88" i="38"/>
  <c r="N85" i="38"/>
  <c r="K85" i="38"/>
  <c r="K84" i="38"/>
  <c r="K86" i="38"/>
  <c r="K88" i="38"/>
  <c r="P85" i="38"/>
  <c r="P84" i="38"/>
  <c r="P86" i="38"/>
  <c r="P88" i="38"/>
  <c r="J84" i="38"/>
  <c r="J86" i="38"/>
  <c r="J88" i="38"/>
  <c r="J85" i="38"/>
  <c r="M85" i="38"/>
  <c r="M86" i="38"/>
  <c r="M88" i="38"/>
  <c r="M84" i="38"/>
  <c r="Q84" i="38"/>
  <c r="Q85" i="38"/>
  <c r="Q86" i="38"/>
  <c r="Q88" i="38"/>
  <c r="Q83" i="38"/>
  <c r="N83" i="38"/>
  <c r="P83" i="38"/>
  <c r="K83" i="38"/>
  <c r="J83" i="38"/>
  <c r="M83" i="38"/>
  <c r="P82" i="38"/>
  <c r="P81" i="38"/>
  <c r="P80" i="38"/>
  <c r="P79" i="38"/>
  <c r="P78" i="38"/>
  <c r="P77" i="38"/>
  <c r="P76" i="38"/>
  <c r="P75" i="38"/>
  <c r="P74" i="38"/>
  <c r="P73" i="38"/>
  <c r="J82" i="38"/>
  <c r="J81" i="38"/>
  <c r="J80" i="38"/>
  <c r="J79" i="38"/>
  <c r="J78" i="38"/>
  <c r="J76" i="38"/>
  <c r="J73" i="38"/>
  <c r="J77" i="38"/>
  <c r="J75" i="38"/>
  <c r="J74" i="38"/>
  <c r="M82" i="38"/>
  <c r="M81" i="38"/>
  <c r="M80" i="38"/>
  <c r="M79" i="38"/>
  <c r="M78" i="38"/>
  <c r="M77" i="38"/>
  <c r="M76" i="38"/>
  <c r="M75" i="38"/>
  <c r="M74" i="38"/>
  <c r="M73" i="38"/>
  <c r="K82" i="38"/>
  <c r="K81" i="38"/>
  <c r="K80" i="38"/>
  <c r="K79" i="38"/>
  <c r="K78" i="38"/>
  <c r="K77" i="38"/>
  <c r="K76" i="38"/>
  <c r="K75" i="38"/>
  <c r="K74" i="38"/>
  <c r="K73" i="38"/>
  <c r="Q82" i="38"/>
  <c r="Q81" i="38"/>
  <c r="Q80" i="38"/>
  <c r="Q79" i="38"/>
  <c r="Q78" i="38"/>
  <c r="Q77" i="38"/>
  <c r="Q76" i="38"/>
  <c r="Q75" i="38"/>
  <c r="Q74" i="38"/>
  <c r="Q73" i="38"/>
  <c r="N82" i="38"/>
  <c r="N81" i="38"/>
  <c r="N80" i="38"/>
  <c r="N79" i="38"/>
  <c r="N78" i="38"/>
  <c r="N77" i="38"/>
  <c r="N75" i="38"/>
  <c r="N76" i="38"/>
  <c r="N74" i="38"/>
  <c r="N73" i="38"/>
  <c r="H30" i="38"/>
  <c r="E42" i="38"/>
  <c r="J32" i="18"/>
  <c r="L105" i="18" l="1"/>
  <c r="L104" i="18"/>
  <c r="J105" i="18"/>
  <c r="J104" i="18"/>
  <c r="H14" i="63"/>
  <c r="L39" i="62" s="1"/>
  <c r="L47" i="61"/>
  <c r="K57" i="34"/>
  <c r="H11" i="63"/>
  <c r="K78" i="46" s="1"/>
  <c r="H36" i="63"/>
  <c r="H37" i="63" s="1"/>
  <c r="H22" i="63"/>
  <c r="K81" i="46" s="1"/>
  <c r="I11" i="63"/>
  <c r="L78" i="46" s="1"/>
  <c r="I14" i="63"/>
  <c r="M39" i="62" s="1"/>
  <c r="I18" i="63"/>
  <c r="I19" i="63" s="1"/>
  <c r="L50" i="61" s="1"/>
  <c r="L77" i="46"/>
  <c r="I22" i="63"/>
  <c r="L81" i="46" s="1"/>
  <c r="I36" i="63"/>
  <c r="I37" i="63" s="1"/>
  <c r="K77" i="46"/>
  <c r="L57" i="34"/>
  <c r="K38" i="18"/>
  <c r="K157" i="18" s="1"/>
  <c r="H16" i="63"/>
  <c r="G161" i="61"/>
  <c r="G103" i="61"/>
  <c r="G11" i="63"/>
  <c r="G22" i="63"/>
  <c r="K29" i="62"/>
  <c r="G14" i="63"/>
  <c r="J77" i="46"/>
  <c r="J57" i="34"/>
  <c r="G83" i="18"/>
  <c r="G80" i="18"/>
  <c r="G82" i="18"/>
  <c r="G77" i="18"/>
  <c r="L89" i="18"/>
  <c r="L99" i="18"/>
  <c r="J89" i="18"/>
  <c r="J99" i="18"/>
  <c r="C13" i="18"/>
  <c r="I135" i="18"/>
  <c r="H136" i="18"/>
  <c r="G34" i="63"/>
  <c r="G29" i="63"/>
  <c r="D22" i="18"/>
  <c r="C22" i="18"/>
  <c r="C142" i="18"/>
  <c r="J38" i="18"/>
  <c r="G16" i="63"/>
  <c r="C147" i="18"/>
  <c r="D13" i="18"/>
  <c r="J101" i="18"/>
  <c r="J100" i="18"/>
  <c r="J107" i="18"/>
  <c r="J106" i="18"/>
  <c r="J102" i="18"/>
  <c r="J98" i="18"/>
  <c r="J103" i="18"/>
  <c r="L107" i="18"/>
  <c r="L101" i="18"/>
  <c r="L106" i="18"/>
  <c r="L102" i="18"/>
  <c r="L98" i="18"/>
  <c r="L100" i="18"/>
  <c r="L103" i="18"/>
  <c r="C146" i="61"/>
  <c r="E28" i="63"/>
  <c r="E29" i="63" s="1"/>
  <c r="D28" i="63"/>
  <c r="D29" i="63" s="1"/>
  <c r="F28" i="63"/>
  <c r="F29" i="63" s="1"/>
  <c r="H42" i="18"/>
  <c r="H161" i="18" s="1"/>
  <c r="I42" i="18"/>
  <c r="I161" i="18" s="1"/>
  <c r="K35" i="53"/>
  <c r="K36" i="53" s="1"/>
  <c r="K37" i="53" s="1"/>
  <c r="K40" i="53" s="1"/>
  <c r="L126" i="18"/>
  <c r="L122" i="18"/>
  <c r="L125" i="18"/>
  <c r="L119" i="18"/>
  <c r="L124" i="18"/>
  <c r="L118" i="18"/>
  <c r="J126" i="18"/>
  <c r="J122" i="18"/>
  <c r="J125" i="18"/>
  <c r="J119" i="18"/>
  <c r="J118" i="18"/>
  <c r="L120" i="18"/>
  <c r="J124" i="18"/>
  <c r="C144" i="61"/>
  <c r="G42" i="18"/>
  <c r="G161" i="18" s="1"/>
  <c r="J29" i="62"/>
  <c r="I57" i="34"/>
  <c r="I77" i="46"/>
  <c r="I29" i="62"/>
  <c r="H57" i="34"/>
  <c r="H77" i="46"/>
  <c r="G58" i="34"/>
  <c r="G78" i="46"/>
  <c r="G82" i="46"/>
  <c r="G81" i="46"/>
  <c r="H40" i="62"/>
  <c r="H39" i="62"/>
  <c r="E22" i="63"/>
  <c r="E23" i="63" s="1"/>
  <c r="E14" i="63"/>
  <c r="E15" i="63" s="1"/>
  <c r="B10" i="63"/>
  <c r="B11" i="63" s="1"/>
  <c r="F22" i="63"/>
  <c r="F23" i="63" s="1"/>
  <c r="F14" i="63"/>
  <c r="F15" i="63" s="1"/>
  <c r="H102" i="61"/>
  <c r="H161" i="61" s="1"/>
  <c r="H45" i="61"/>
  <c r="H46" i="61" s="1"/>
  <c r="I102" i="61"/>
  <c r="I161" i="61" s="1"/>
  <c r="I45" i="61"/>
  <c r="I46" i="61" s="1"/>
  <c r="G46" i="61"/>
  <c r="G32" i="18"/>
  <c r="G109" i="18" s="1"/>
  <c r="C141" i="18"/>
  <c r="G13" i="45"/>
  <c r="C137" i="18"/>
  <c r="H87" i="38"/>
  <c r="H112" i="38"/>
  <c r="H111" i="38"/>
  <c r="H110" i="38"/>
  <c r="H114" i="38"/>
  <c r="H113" i="38"/>
  <c r="H116" i="38"/>
  <c r="H115" i="38"/>
  <c r="H109" i="38"/>
  <c r="H108" i="38"/>
  <c r="H107" i="38"/>
  <c r="H106" i="38"/>
  <c r="H105" i="38"/>
  <c r="H104" i="38"/>
  <c r="H103" i="38"/>
  <c r="H102" i="38"/>
  <c r="H101" i="38"/>
  <c r="H100" i="38"/>
  <c r="H99" i="38"/>
  <c r="H98" i="38"/>
  <c r="H97" i="38"/>
  <c r="H96" i="38"/>
  <c r="H95" i="38"/>
  <c r="I14" i="38"/>
  <c r="I15" i="38" s="1"/>
  <c r="I30" i="38" s="1"/>
  <c r="D42" i="38"/>
  <c r="G85" i="18"/>
  <c r="I110" i="13"/>
  <c r="H33" i="18" s="1"/>
  <c r="H79" i="18"/>
  <c r="H13" i="45"/>
  <c r="J110" i="13"/>
  <c r="I33" i="18" s="1"/>
  <c r="G86" i="18"/>
  <c r="J152" i="18"/>
  <c r="K32" i="18"/>
  <c r="H72" i="18"/>
  <c r="H86" i="18" s="1"/>
  <c r="D38" i="38"/>
  <c r="I70" i="18"/>
  <c r="I84" i="18" s="1"/>
  <c r="H71" i="18"/>
  <c r="H85" i="18" s="1"/>
  <c r="F38" i="45"/>
  <c r="C109" i="13"/>
  <c r="G38" i="45"/>
  <c r="H84" i="38"/>
  <c r="H86" i="38"/>
  <c r="H88" i="38"/>
  <c r="H85" i="38"/>
  <c r="P89" i="38"/>
  <c r="N89" i="38"/>
  <c r="J89" i="38"/>
  <c r="M89" i="38"/>
  <c r="Q89" i="38"/>
  <c r="H83" i="38"/>
  <c r="K89" i="38"/>
  <c r="H76" i="18"/>
  <c r="H82" i="38"/>
  <c r="H81" i="38"/>
  <c r="H80" i="38"/>
  <c r="H79" i="38"/>
  <c r="H78" i="38"/>
  <c r="H77" i="38"/>
  <c r="H76" i="38"/>
  <c r="H75" i="38"/>
  <c r="H74" i="38"/>
  <c r="H73" i="38"/>
  <c r="I136" i="18"/>
  <c r="H23" i="63" l="1"/>
  <c r="K82" i="46" s="1"/>
  <c r="K105" i="18"/>
  <c r="K104" i="18"/>
  <c r="H15" i="63"/>
  <c r="L40" i="62" s="1"/>
  <c r="G105" i="18"/>
  <c r="G104" i="18"/>
  <c r="L49" i="61"/>
  <c r="L58" i="34"/>
  <c r="K58" i="34"/>
  <c r="I15" i="63"/>
  <c r="M40" i="62" s="1"/>
  <c r="I23" i="63"/>
  <c r="L82" i="46" s="1"/>
  <c r="H17" i="63"/>
  <c r="K48" i="61" s="1"/>
  <c r="K47" i="61"/>
  <c r="H18" i="63"/>
  <c r="G163" i="61"/>
  <c r="G38" i="18" s="1"/>
  <c r="G157" i="18" s="1"/>
  <c r="C40" i="38"/>
  <c r="D40" i="38" s="1"/>
  <c r="E40" i="38"/>
  <c r="I103" i="61"/>
  <c r="I163" i="61"/>
  <c r="G23" i="63"/>
  <c r="J82" i="46" s="1"/>
  <c r="J81" i="46"/>
  <c r="G15" i="63"/>
  <c r="K40" i="62" s="1"/>
  <c r="K39" i="62"/>
  <c r="J58" i="34"/>
  <c r="J78" i="46"/>
  <c r="C29" i="62"/>
  <c r="H82" i="18"/>
  <c r="H77" i="18"/>
  <c r="H83" i="18"/>
  <c r="H80" i="18"/>
  <c r="K89" i="18"/>
  <c r="K99" i="18"/>
  <c r="G100" i="18"/>
  <c r="G99" i="18"/>
  <c r="J120" i="18"/>
  <c r="J157" i="18"/>
  <c r="H163" i="61"/>
  <c r="H103" i="61"/>
  <c r="G36" i="63"/>
  <c r="G37" i="63" s="1"/>
  <c r="G35" i="63"/>
  <c r="J47" i="61"/>
  <c r="G17" i="63"/>
  <c r="J48" i="61" s="1"/>
  <c r="K38" i="53"/>
  <c r="K39" i="53"/>
  <c r="G18" i="63"/>
  <c r="I152" i="18"/>
  <c r="D42" i="18"/>
  <c r="D14" i="18"/>
  <c r="G106" i="18"/>
  <c r="G102" i="18"/>
  <c r="G98" i="18"/>
  <c r="G101" i="18"/>
  <c r="K100" i="18"/>
  <c r="K106" i="18"/>
  <c r="K101" i="18"/>
  <c r="K107" i="18"/>
  <c r="K102" i="18"/>
  <c r="K98" i="18"/>
  <c r="K103" i="18"/>
  <c r="B28" i="63"/>
  <c r="D34" i="63"/>
  <c r="D35" i="63" s="1"/>
  <c r="E34" i="63"/>
  <c r="E35" i="63" s="1"/>
  <c r="F34" i="63"/>
  <c r="F35" i="63" s="1"/>
  <c r="H152" i="18"/>
  <c r="H32" i="18"/>
  <c r="K126" i="18"/>
  <c r="K122" i="18"/>
  <c r="K125" i="18"/>
  <c r="K119" i="18"/>
  <c r="K124" i="18"/>
  <c r="K118" i="18"/>
  <c r="K120" i="18"/>
  <c r="G124" i="18"/>
  <c r="G126" i="18"/>
  <c r="G122" i="18"/>
  <c r="G125" i="18"/>
  <c r="G119" i="18"/>
  <c r="G118" i="18"/>
  <c r="H58" i="34"/>
  <c r="H78" i="46"/>
  <c r="I58" i="34"/>
  <c r="I78" i="46"/>
  <c r="E77" i="46"/>
  <c r="D57" i="34"/>
  <c r="I82" i="46"/>
  <c r="I81" i="46"/>
  <c r="H82" i="46"/>
  <c r="H81" i="46"/>
  <c r="J40" i="62"/>
  <c r="J39" i="62"/>
  <c r="I40" i="62"/>
  <c r="I39" i="62"/>
  <c r="B22" i="63"/>
  <c r="B23" i="63" s="1"/>
  <c r="B14" i="63"/>
  <c r="B15" i="63" s="1"/>
  <c r="C45" i="61"/>
  <c r="G89" i="18"/>
  <c r="G152" i="18"/>
  <c r="L14" i="38"/>
  <c r="L15" i="38" s="1"/>
  <c r="L30" i="38" s="1"/>
  <c r="L79" i="38" s="1"/>
  <c r="D13" i="45"/>
  <c r="C135" i="18"/>
  <c r="I111" i="38"/>
  <c r="I110" i="38"/>
  <c r="I114" i="38"/>
  <c r="I113" i="38"/>
  <c r="I112" i="38"/>
  <c r="I87" i="38"/>
  <c r="I116" i="38"/>
  <c r="I115" i="38"/>
  <c r="I109" i="38"/>
  <c r="I105" i="38"/>
  <c r="I101" i="38"/>
  <c r="I97" i="38"/>
  <c r="I107" i="38"/>
  <c r="I103" i="38"/>
  <c r="I99" i="38"/>
  <c r="I95" i="38"/>
  <c r="I106" i="38"/>
  <c r="I108" i="38"/>
  <c r="I104" i="38"/>
  <c r="I100" i="38"/>
  <c r="I96" i="38"/>
  <c r="I102" i="38"/>
  <c r="I98" i="38"/>
  <c r="I32" i="18"/>
  <c r="C14" i="18"/>
  <c r="C136" i="18"/>
  <c r="I79" i="18"/>
  <c r="J70" i="18"/>
  <c r="J84" i="18" s="1"/>
  <c r="K152" i="18"/>
  <c r="I72" i="18"/>
  <c r="I71" i="18"/>
  <c r="F10" i="18"/>
  <c r="K10" i="18"/>
  <c r="J71" i="18"/>
  <c r="J85" i="18" s="1"/>
  <c r="H73" i="18"/>
  <c r="K73" i="18"/>
  <c r="H38" i="45"/>
  <c r="D38" i="45" s="1"/>
  <c r="I86" i="38"/>
  <c r="I84" i="38"/>
  <c r="I85" i="38"/>
  <c r="I88" i="38"/>
  <c r="I83" i="38"/>
  <c r="H89" i="38"/>
  <c r="I76" i="18"/>
  <c r="I82" i="38"/>
  <c r="I81" i="38"/>
  <c r="I80" i="38"/>
  <c r="I79" i="38"/>
  <c r="I78" i="38"/>
  <c r="I77" i="38"/>
  <c r="I76" i="38"/>
  <c r="I75" i="38"/>
  <c r="I74" i="38"/>
  <c r="I73" i="38"/>
  <c r="F30" i="38"/>
  <c r="I89" i="18" l="1"/>
  <c r="I104" i="18"/>
  <c r="I105" i="18"/>
  <c r="H99" i="18"/>
  <c r="H105" i="18"/>
  <c r="H104" i="18"/>
  <c r="D16" i="63"/>
  <c r="G47" i="61" s="1"/>
  <c r="H19" i="63"/>
  <c r="K50" i="61" s="1"/>
  <c r="K49" i="61"/>
  <c r="H81" i="18"/>
  <c r="H78" i="18"/>
  <c r="H74" i="18"/>
  <c r="H87" i="18"/>
  <c r="C72" i="18"/>
  <c r="I86" i="18"/>
  <c r="K81" i="18"/>
  <c r="K78" i="18"/>
  <c r="K74" i="18"/>
  <c r="K87" i="18"/>
  <c r="C76" i="18"/>
  <c r="I82" i="18"/>
  <c r="C82" i="18" s="1"/>
  <c r="I77" i="18"/>
  <c r="C77" i="18" s="1"/>
  <c r="C79" i="18"/>
  <c r="I83" i="18"/>
  <c r="C83" i="18" s="1"/>
  <c r="I80" i="18"/>
  <c r="C80" i="18" s="1"/>
  <c r="I99" i="18"/>
  <c r="B34" i="63"/>
  <c r="B35" i="63" s="1"/>
  <c r="B29" i="63"/>
  <c r="J49" i="61"/>
  <c r="G19" i="63"/>
  <c r="J50" i="61" s="1"/>
  <c r="F16" i="63"/>
  <c r="I38" i="18"/>
  <c r="I106" i="18"/>
  <c r="I102" i="18"/>
  <c r="I98" i="18"/>
  <c r="I100" i="18"/>
  <c r="I107" i="18"/>
  <c r="I101" i="18"/>
  <c r="I103" i="18"/>
  <c r="H107" i="18"/>
  <c r="H100" i="18"/>
  <c r="H106" i="18"/>
  <c r="H102" i="18"/>
  <c r="H98" i="18"/>
  <c r="H101" i="18"/>
  <c r="D32" i="18"/>
  <c r="E42" i="18" s="1"/>
  <c r="H103" i="18"/>
  <c r="G120" i="18"/>
  <c r="D36" i="63"/>
  <c r="D37" i="63" s="1"/>
  <c r="F36" i="63"/>
  <c r="F37" i="63" s="1"/>
  <c r="E36" i="63"/>
  <c r="E37" i="63" s="1"/>
  <c r="H122" i="18"/>
  <c r="H89" i="18"/>
  <c r="H125" i="18"/>
  <c r="H118" i="18"/>
  <c r="H124" i="18"/>
  <c r="H126" i="18"/>
  <c r="H119" i="18"/>
  <c r="C40" i="62"/>
  <c r="C39" i="62"/>
  <c r="I126" i="18"/>
  <c r="I122" i="18"/>
  <c r="I125" i="18"/>
  <c r="I119" i="18"/>
  <c r="I118" i="18"/>
  <c r="I124" i="18"/>
  <c r="C71" i="18"/>
  <c r="C70" i="18"/>
  <c r="E78" i="46"/>
  <c r="D58" i="34"/>
  <c r="E82" i="46"/>
  <c r="E81" i="46"/>
  <c r="H38" i="18"/>
  <c r="E16" i="63"/>
  <c r="E17" i="63" s="1"/>
  <c r="C163" i="61"/>
  <c r="O14" i="38"/>
  <c r="O15" i="38" s="1"/>
  <c r="F113" i="38"/>
  <c r="F110" i="38"/>
  <c r="F114" i="38"/>
  <c r="F112" i="38"/>
  <c r="F111" i="38"/>
  <c r="L85" i="38"/>
  <c r="L112" i="38"/>
  <c r="L111" i="38"/>
  <c r="L110" i="38"/>
  <c r="L114" i="38"/>
  <c r="L113" i="38"/>
  <c r="L75" i="38"/>
  <c r="L87" i="38"/>
  <c r="L106" i="38"/>
  <c r="L102" i="38"/>
  <c r="L98" i="38"/>
  <c r="L108" i="38"/>
  <c r="L100" i="38"/>
  <c r="L96" i="38"/>
  <c r="L103" i="38"/>
  <c r="L99" i="38"/>
  <c r="L116" i="38"/>
  <c r="L115" i="38"/>
  <c r="L109" i="38"/>
  <c r="L105" i="38"/>
  <c r="L101" i="38"/>
  <c r="L97" i="38"/>
  <c r="L104" i="38"/>
  <c r="L95" i="38"/>
  <c r="L107" i="38"/>
  <c r="L76" i="38"/>
  <c r="L80" i="38"/>
  <c r="L83" i="38"/>
  <c r="L88" i="38"/>
  <c r="F87" i="38"/>
  <c r="F108" i="38"/>
  <c r="F104" i="38"/>
  <c r="F100" i="38"/>
  <c r="F96" i="38"/>
  <c r="F106" i="38"/>
  <c r="F102" i="38"/>
  <c r="F98" i="38"/>
  <c r="F109" i="38"/>
  <c r="F107" i="38"/>
  <c r="F103" i="38"/>
  <c r="F99" i="38"/>
  <c r="F95" i="38"/>
  <c r="F116" i="38"/>
  <c r="F101" i="38"/>
  <c r="F115" i="38"/>
  <c r="F105" i="38"/>
  <c r="F97" i="38"/>
  <c r="L73" i="38"/>
  <c r="L77" i="38"/>
  <c r="L81" i="38"/>
  <c r="L86" i="38"/>
  <c r="L74" i="38"/>
  <c r="L78" i="38"/>
  <c r="L82" i="38"/>
  <c r="L84" i="38"/>
  <c r="I85" i="18"/>
  <c r="C32" i="18"/>
  <c r="C152" i="18"/>
  <c r="C144" i="18"/>
  <c r="C161" i="18"/>
  <c r="L10" i="18"/>
  <c r="J73" i="18"/>
  <c r="L73" i="18"/>
  <c r="K68" i="18"/>
  <c r="K94" i="18" s="1"/>
  <c r="G73" i="18"/>
  <c r="C42" i="18"/>
  <c r="F84" i="38"/>
  <c r="F88" i="38"/>
  <c r="F85" i="38"/>
  <c r="F86" i="38"/>
  <c r="F83" i="38"/>
  <c r="I89" i="38"/>
  <c r="I73" i="18"/>
  <c r="F31" i="38"/>
  <c r="F82" i="38"/>
  <c r="F81" i="38"/>
  <c r="F80" i="38"/>
  <c r="F79" i="38"/>
  <c r="F78" i="38"/>
  <c r="F77" i="38"/>
  <c r="F75" i="38"/>
  <c r="F74" i="38"/>
  <c r="F76" i="38"/>
  <c r="F73" i="38"/>
  <c r="E35" i="38"/>
  <c r="B36" i="63" l="1"/>
  <c r="B37" i="63" s="1"/>
  <c r="D18" i="63"/>
  <c r="D19" i="63" s="1"/>
  <c r="G50" i="61" s="1"/>
  <c r="D17" i="63"/>
  <c r="G48" i="61" s="1"/>
  <c r="I78" i="18"/>
  <c r="I81" i="18"/>
  <c r="I74" i="18"/>
  <c r="I87" i="18"/>
  <c r="G78" i="18"/>
  <c r="G87" i="18"/>
  <c r="G81" i="18"/>
  <c r="G74" i="18"/>
  <c r="J81" i="18"/>
  <c r="J78" i="18"/>
  <c r="J87" i="18"/>
  <c r="J74" i="18"/>
  <c r="L78" i="18"/>
  <c r="L81" i="18"/>
  <c r="L87" i="18"/>
  <c r="L74" i="18"/>
  <c r="G31" i="38"/>
  <c r="C124" i="18"/>
  <c r="E37" i="18"/>
  <c r="E43" i="18"/>
  <c r="E18" i="18"/>
  <c r="E22" i="18"/>
  <c r="E26" i="18"/>
  <c r="E30" i="18"/>
  <c r="E40" i="18"/>
  <c r="E36" i="18"/>
  <c r="E16" i="18"/>
  <c r="E20" i="18"/>
  <c r="E24" i="18"/>
  <c r="E28" i="18"/>
  <c r="E32" i="18"/>
  <c r="E17" i="18"/>
  <c r="E21" i="18"/>
  <c r="E25" i="18"/>
  <c r="E29" i="18"/>
  <c r="E44" i="18"/>
  <c r="E15" i="18"/>
  <c r="E19" i="18"/>
  <c r="E23" i="18"/>
  <c r="E27" i="18"/>
  <c r="E31" i="18"/>
  <c r="E13" i="18"/>
  <c r="E14" i="18"/>
  <c r="C119" i="18"/>
  <c r="C125" i="18"/>
  <c r="C103" i="18"/>
  <c r="C107" i="18"/>
  <c r="C111" i="18"/>
  <c r="C122" i="18"/>
  <c r="C101" i="18"/>
  <c r="C105" i="18"/>
  <c r="C109" i="18"/>
  <c r="C113" i="18"/>
  <c r="C115" i="18"/>
  <c r="C102" i="18"/>
  <c r="C106" i="18"/>
  <c r="C110" i="18"/>
  <c r="C114" i="18"/>
  <c r="C126" i="18"/>
  <c r="C100" i="18"/>
  <c r="C104" i="18"/>
  <c r="C108" i="18"/>
  <c r="C112" i="18"/>
  <c r="C98" i="18"/>
  <c r="C99" i="18"/>
  <c r="H120" i="18"/>
  <c r="H157" i="18"/>
  <c r="I120" i="18"/>
  <c r="I157" i="18"/>
  <c r="I47" i="61"/>
  <c r="F17" i="63"/>
  <c r="I48" i="61" s="1"/>
  <c r="F18" i="63"/>
  <c r="D38" i="18"/>
  <c r="E38" i="18" s="1"/>
  <c r="B16" i="63"/>
  <c r="H47" i="61"/>
  <c r="E14" i="38"/>
  <c r="D14" i="38" s="1"/>
  <c r="H48" i="61"/>
  <c r="E18" i="63"/>
  <c r="E19" i="63" s="1"/>
  <c r="L89" i="38"/>
  <c r="E15" i="38"/>
  <c r="D15" i="38" s="1"/>
  <c r="O30" i="38"/>
  <c r="D35" i="38"/>
  <c r="C85" i="18"/>
  <c r="C89" i="18"/>
  <c r="C84" i="18"/>
  <c r="L68" i="18"/>
  <c r="L94" i="18" s="1"/>
  <c r="C86" i="18"/>
  <c r="C73" i="18"/>
  <c r="F89" i="38"/>
  <c r="G49" i="61" l="1"/>
  <c r="C87" i="18"/>
  <c r="H31" i="38"/>
  <c r="C47" i="61"/>
  <c r="B17" i="63"/>
  <c r="C48" i="61" s="1"/>
  <c r="I49" i="61"/>
  <c r="F19" i="63"/>
  <c r="I50" i="61" s="1"/>
  <c r="B18" i="63"/>
  <c r="H50" i="61"/>
  <c r="H49" i="61"/>
  <c r="O114" i="38"/>
  <c r="O113" i="38"/>
  <c r="O112" i="38"/>
  <c r="O111" i="38"/>
  <c r="O110" i="38"/>
  <c r="O87" i="38"/>
  <c r="O107" i="38"/>
  <c r="O103" i="38"/>
  <c r="O99" i="38"/>
  <c r="O95" i="38"/>
  <c r="O115" i="38"/>
  <c r="O96" i="38"/>
  <c r="O106" i="38"/>
  <c r="O102" i="38"/>
  <c r="O98" i="38"/>
  <c r="O109" i="38"/>
  <c r="O105" i="38"/>
  <c r="O101" i="38"/>
  <c r="O97" i="38"/>
  <c r="O108" i="38"/>
  <c r="O104" i="38"/>
  <c r="O116" i="38"/>
  <c r="O100" i="38"/>
  <c r="O86" i="38"/>
  <c r="O80" i="38"/>
  <c r="O76" i="38"/>
  <c r="O85" i="38"/>
  <c r="O77" i="38"/>
  <c r="O84" i="38"/>
  <c r="O79" i="38"/>
  <c r="O75" i="38"/>
  <c r="O88" i="38"/>
  <c r="O82" i="38"/>
  <c r="O78" i="38"/>
  <c r="O83" i="38"/>
  <c r="O81" i="38"/>
  <c r="O73" i="38"/>
  <c r="O74" i="38"/>
  <c r="E30" i="38"/>
  <c r="I68" i="18"/>
  <c r="I94" i="18" s="1"/>
  <c r="I10" i="18"/>
  <c r="H10" i="18"/>
  <c r="H68" i="18"/>
  <c r="H94" i="18" s="1"/>
  <c r="C78" i="18"/>
  <c r="C81" i="18"/>
  <c r="C74" i="18"/>
  <c r="F47" i="38"/>
  <c r="F117" i="38" s="1"/>
  <c r="L47" i="38"/>
  <c r="O47" i="38"/>
  <c r="M47" i="38"/>
  <c r="N47" i="38"/>
  <c r="Q47" i="38"/>
  <c r="I47" i="38"/>
  <c r="K47" i="38"/>
  <c r="J47" i="38"/>
  <c r="P47" i="38"/>
  <c r="H47" i="38"/>
  <c r="C49" i="61" l="1"/>
  <c r="F90" i="38"/>
  <c r="F32" i="38"/>
  <c r="G32" i="38"/>
  <c r="G90" i="38"/>
  <c r="I31" i="38"/>
  <c r="H90" i="38"/>
  <c r="H32" i="38"/>
  <c r="B19" i="63"/>
  <c r="C50" i="61" s="1"/>
  <c r="O89" i="38"/>
  <c r="E110" i="38"/>
  <c r="E114" i="38"/>
  <c r="E113" i="38"/>
  <c r="E112" i="38"/>
  <c r="E111" i="38"/>
  <c r="E83" i="38"/>
  <c r="E97" i="38"/>
  <c r="E100" i="38"/>
  <c r="E99" i="38"/>
  <c r="E98" i="38"/>
  <c r="E102" i="38"/>
  <c r="E101" i="38"/>
  <c r="E105" i="38"/>
  <c r="E108" i="38"/>
  <c r="E115" i="38"/>
  <c r="E109" i="38"/>
  <c r="E103" i="38"/>
  <c r="E104" i="38"/>
  <c r="E106" i="38"/>
  <c r="E80" i="38"/>
  <c r="E79" i="38"/>
  <c r="E73" i="38"/>
  <c r="E85" i="38"/>
  <c r="E107" i="38"/>
  <c r="E95" i="38"/>
  <c r="E76" i="38"/>
  <c r="E82" i="38"/>
  <c r="D30" i="38"/>
  <c r="D31" i="38" s="1"/>
  <c r="E86" i="38"/>
  <c r="E84" i="38"/>
  <c r="E88" i="38"/>
  <c r="E87" i="38"/>
  <c r="E78" i="38"/>
  <c r="E81" i="38"/>
  <c r="E75" i="38"/>
  <c r="E77" i="38"/>
  <c r="E74" i="38"/>
  <c r="J68" i="18"/>
  <c r="J94" i="18" s="1"/>
  <c r="J10" i="18"/>
  <c r="F48" i="38"/>
  <c r="F62" i="38" s="1"/>
  <c r="P48" i="38"/>
  <c r="P62" i="38" s="1"/>
  <c r="P121" i="38" s="1"/>
  <c r="Q48" i="38"/>
  <c r="Q62" i="38" s="1"/>
  <c r="Q121" i="38" s="1"/>
  <c r="O48" i="38"/>
  <c r="O62" i="38" s="1"/>
  <c r="O121" i="38" s="1"/>
  <c r="J48" i="38"/>
  <c r="J62" i="38" s="1"/>
  <c r="J121" i="38" s="1"/>
  <c r="N48" i="38"/>
  <c r="N62" i="38" s="1"/>
  <c r="N121" i="38" s="1"/>
  <c r="L48" i="38"/>
  <c r="L62" i="38" s="1"/>
  <c r="L121" i="38" s="1"/>
  <c r="H48" i="38"/>
  <c r="H62" i="38" s="1"/>
  <c r="H121" i="38" s="1"/>
  <c r="I48" i="38"/>
  <c r="I62" i="38" s="1"/>
  <c r="I121" i="38" s="1"/>
  <c r="M48" i="38"/>
  <c r="M62" i="38" s="1"/>
  <c r="M121" i="38" s="1"/>
  <c r="K48" i="38"/>
  <c r="K62" i="38" s="1"/>
  <c r="K121" i="38" s="1"/>
  <c r="F49" i="38"/>
  <c r="G47" i="38"/>
  <c r="E96" i="38"/>
  <c r="J31" i="38" l="1"/>
  <c r="I90" i="38"/>
  <c r="I32" i="38"/>
  <c r="F66" i="38"/>
  <c r="F118" i="38" s="1"/>
  <c r="F121" i="38"/>
  <c r="F125" i="38" s="1"/>
  <c r="G123" i="38" s="1"/>
  <c r="E89" i="38"/>
  <c r="G48" i="38"/>
  <c r="G62" i="38" s="1"/>
  <c r="G121" i="38" s="1"/>
  <c r="E47" i="38"/>
  <c r="G49" i="38"/>
  <c r="F50" i="38" l="1"/>
  <c r="F51" i="38" s="1"/>
  <c r="G50" i="38"/>
  <c r="G51" i="38" s="1"/>
  <c r="K31" i="38"/>
  <c r="J90" i="38"/>
  <c r="J32" i="38"/>
  <c r="G64" i="38"/>
  <c r="G117" i="38" s="1"/>
  <c r="E48" i="38"/>
  <c r="E121" i="38"/>
  <c r="E125" i="38" s="1"/>
  <c r="E62" i="38"/>
  <c r="E66" i="38" s="1"/>
  <c r="G125" i="38"/>
  <c r="H123" i="38" s="1"/>
  <c r="H125" i="38" s="1"/>
  <c r="I123" i="38" s="1"/>
  <c r="I125" i="38" s="1"/>
  <c r="J123" i="38" s="1"/>
  <c r="J125" i="38" s="1"/>
  <c r="K123" i="38" s="1"/>
  <c r="K125" i="38" s="1"/>
  <c r="L123" i="38" s="1"/>
  <c r="L125" i="38" s="1"/>
  <c r="M123" i="38" s="1"/>
  <c r="M125" i="38" s="1"/>
  <c r="N123" i="38" s="1"/>
  <c r="N125" i="38" s="1"/>
  <c r="O123" i="38" s="1"/>
  <c r="O125" i="38" s="1"/>
  <c r="P123" i="38" s="1"/>
  <c r="P125" i="38" s="1"/>
  <c r="Q123" i="38" s="1"/>
  <c r="Q125" i="38" s="1"/>
  <c r="H49" i="38"/>
  <c r="H50" i="38" s="1"/>
  <c r="H51" i="38" s="1"/>
  <c r="L31" i="38" l="1"/>
  <c r="K90" i="38"/>
  <c r="K32" i="38"/>
  <c r="G68" i="38"/>
  <c r="G66" i="38"/>
  <c r="G118" i="38" s="1"/>
  <c r="I49" i="38"/>
  <c r="I50" i="38" s="1"/>
  <c r="I51" i="38" s="1"/>
  <c r="M31" i="38" l="1"/>
  <c r="L90" i="38"/>
  <c r="L32" i="38"/>
  <c r="H64" i="38"/>
  <c r="H117" i="38" s="1"/>
  <c r="C131" i="18"/>
  <c r="J49" i="38"/>
  <c r="J50" i="38" s="1"/>
  <c r="J51" i="38" s="1"/>
  <c r="N31" i="38" l="1"/>
  <c r="M90" i="38"/>
  <c r="M32" i="38"/>
  <c r="H66" i="38"/>
  <c r="H68" i="38"/>
  <c r="K49" i="38"/>
  <c r="K50" i="38" s="1"/>
  <c r="K51" i="38" s="1"/>
  <c r="I64" i="38" l="1"/>
  <c r="I68" i="38" s="1"/>
  <c r="H118" i="38"/>
  <c r="N90" i="38"/>
  <c r="N32" i="38"/>
  <c r="O31" i="38"/>
  <c r="L49" i="38"/>
  <c r="L50" i="38" s="1"/>
  <c r="L51" i="38" s="1"/>
  <c r="P31" i="38" l="1"/>
  <c r="O90" i="38"/>
  <c r="O32" i="38"/>
  <c r="I66" i="38"/>
  <c r="I117" i="38"/>
  <c r="M49" i="38"/>
  <c r="M50" i="38" s="1"/>
  <c r="M51" i="38" s="1"/>
  <c r="I118" i="38" l="1"/>
  <c r="J64" i="38"/>
  <c r="Q31" i="38"/>
  <c r="P90" i="38"/>
  <c r="P32" i="38"/>
  <c r="N49" i="38"/>
  <c r="N50" i="38" s="1"/>
  <c r="N51" i="38" s="1"/>
  <c r="Q90" i="38" l="1"/>
  <c r="Q32" i="38"/>
  <c r="J117" i="38"/>
  <c r="J66" i="38"/>
  <c r="J68" i="38"/>
  <c r="O49" i="38"/>
  <c r="O50" i="38" s="1"/>
  <c r="O51" i="38" s="1"/>
  <c r="K64" i="38" l="1"/>
  <c r="J118" i="38"/>
  <c r="P49" i="38"/>
  <c r="P50" i="38" s="1"/>
  <c r="P51" i="38" s="1"/>
  <c r="K117" i="38" l="1"/>
  <c r="K66" i="38"/>
  <c r="K68" i="38"/>
  <c r="Q49" i="38"/>
  <c r="Q50" i="38" s="1"/>
  <c r="Q51" i="38" s="1"/>
  <c r="L64" i="38" l="1"/>
  <c r="K118" i="38"/>
  <c r="L68" i="38" l="1"/>
  <c r="L117" i="38"/>
  <c r="L66" i="38"/>
  <c r="M64" i="38" l="1"/>
  <c r="L118" i="38"/>
  <c r="M68" i="38" l="1"/>
  <c r="M117" i="38"/>
  <c r="M66" i="38"/>
  <c r="M118" i="38" l="1"/>
  <c r="N64" i="38"/>
  <c r="N66" i="38" l="1"/>
  <c r="N117" i="38"/>
  <c r="N68" i="38"/>
  <c r="L39" i="18"/>
  <c r="L158" i="18" s="1"/>
  <c r="I39" i="18"/>
  <c r="I158" i="18" s="1"/>
  <c r="J39" i="18"/>
  <c r="K39" i="18"/>
  <c r="G39" i="18"/>
  <c r="G158" i="18" s="1"/>
  <c r="H39" i="18"/>
  <c r="K121" i="18" l="1"/>
  <c r="K158" i="18"/>
  <c r="J121" i="18"/>
  <c r="J158" i="18"/>
  <c r="H121" i="18"/>
  <c r="H158" i="18"/>
  <c r="N118" i="38"/>
  <c r="O64" i="38"/>
  <c r="G121" i="18"/>
  <c r="D39" i="18"/>
  <c r="E39" i="18" s="1"/>
  <c r="I121" i="18"/>
  <c r="L121" i="18"/>
  <c r="C39" i="18"/>
  <c r="C121" i="18" s="1"/>
  <c r="O68" i="38" l="1"/>
  <c r="O117" i="38"/>
  <c r="O66" i="38"/>
  <c r="C158" i="18"/>
  <c r="P64" i="38" l="1"/>
  <c r="O118" i="38"/>
  <c r="F73" i="18"/>
  <c r="F78" i="18" s="1"/>
  <c r="P68" i="38" l="1"/>
  <c r="P117" i="38"/>
  <c r="P66" i="38"/>
  <c r="F68" i="18"/>
  <c r="P118" i="38" l="1"/>
  <c r="Q64" i="38"/>
  <c r="G68" i="18"/>
  <c r="G10" i="18"/>
  <c r="C10" i="18" s="1"/>
  <c r="G38" i="34"/>
  <c r="H38" i="34"/>
  <c r="E24" i="63" s="1"/>
  <c r="L38" i="34"/>
  <c r="I24" i="63" s="1"/>
  <c r="I38" i="34"/>
  <c r="F24" i="63" s="1"/>
  <c r="J38" i="34"/>
  <c r="G24" i="63" s="1"/>
  <c r="K38" i="34"/>
  <c r="H24" i="63" s="1"/>
  <c r="C68" i="18" l="1"/>
  <c r="G94" i="18"/>
  <c r="C94" i="18" s="1"/>
  <c r="Q68" i="38"/>
  <c r="Q117" i="38"/>
  <c r="Q66" i="38"/>
  <c r="Q118" i="38" s="1"/>
  <c r="K59" i="34"/>
  <c r="H25" i="63"/>
  <c r="K60" i="34" s="1"/>
  <c r="J59" i="34"/>
  <c r="G25" i="63"/>
  <c r="J60" i="34" s="1"/>
  <c r="I59" i="34"/>
  <c r="F25" i="63"/>
  <c r="I60" i="34" s="1"/>
  <c r="L59" i="34"/>
  <c r="I25" i="63"/>
  <c r="L60" i="34" s="1"/>
  <c r="H59" i="34"/>
  <c r="E25" i="63"/>
  <c r="H60" i="34" s="1"/>
  <c r="F26" i="63"/>
  <c r="F27" i="63" s="1"/>
  <c r="F38" i="63"/>
  <c r="F39" i="63" s="1"/>
  <c r="I26" i="63"/>
  <c r="I27" i="63" s="1"/>
  <c r="I38" i="63"/>
  <c r="I39" i="63" s="1"/>
  <c r="G26" i="63"/>
  <c r="G27" i="63" s="1"/>
  <c r="G38" i="63"/>
  <c r="G39" i="63" s="1"/>
  <c r="C44" i="38"/>
  <c r="D24" i="63"/>
  <c r="H26" i="63"/>
  <c r="H27" i="63" s="1"/>
  <c r="H38" i="63"/>
  <c r="H39" i="63" s="1"/>
  <c r="E26" i="63"/>
  <c r="E27" i="63" s="1"/>
  <c r="E38" i="63"/>
  <c r="E39" i="63" s="1"/>
  <c r="C36" i="38"/>
  <c r="D36" i="38" s="1"/>
  <c r="C155" i="18"/>
  <c r="G59" i="34" l="1"/>
  <c r="D25" i="63"/>
  <c r="G60" i="34" s="1"/>
  <c r="J41" i="62"/>
  <c r="I83" i="46"/>
  <c r="I51" i="61"/>
  <c r="K51" i="61"/>
  <c r="L41" i="62"/>
  <c r="K83" i="46"/>
  <c r="M41" i="62"/>
  <c r="L83" i="46"/>
  <c r="L51" i="61"/>
  <c r="I41" i="62"/>
  <c r="H83" i="46"/>
  <c r="H51" i="61"/>
  <c r="J51" i="61"/>
  <c r="K41" i="62"/>
  <c r="J83" i="46"/>
  <c r="H63" i="34"/>
  <c r="I63" i="34"/>
  <c r="K63" i="34"/>
  <c r="L63" i="34"/>
  <c r="J63" i="34"/>
  <c r="J62" i="34"/>
  <c r="J61" i="34"/>
  <c r="H62" i="34"/>
  <c r="H61" i="34"/>
  <c r="I62" i="34"/>
  <c r="I61" i="34"/>
  <c r="K62" i="34"/>
  <c r="K61" i="34"/>
  <c r="L62" i="34"/>
  <c r="L61" i="34"/>
  <c r="B24" i="63"/>
  <c r="B25" i="63" s="1"/>
  <c r="D26" i="63"/>
  <c r="D27" i="63" s="1"/>
  <c r="D38" i="63"/>
  <c r="D39" i="63" s="1"/>
  <c r="G41" i="18"/>
  <c r="H41" i="18"/>
  <c r="G14" i="45" s="1"/>
  <c r="G160" i="18" l="1"/>
  <c r="F14" i="45"/>
  <c r="H123" i="18"/>
  <c r="H160" i="18"/>
  <c r="D59" i="34"/>
  <c r="D60" i="34"/>
  <c r="G123" i="18"/>
  <c r="J64" i="34"/>
  <c r="J84" i="46"/>
  <c r="J52" i="61"/>
  <c r="K42" i="62"/>
  <c r="H41" i="62"/>
  <c r="C41" i="62" s="1"/>
  <c r="G51" i="61"/>
  <c r="G83" i="46"/>
  <c r="I64" i="34"/>
  <c r="J42" i="62"/>
  <c r="I84" i="46"/>
  <c r="I52" i="61"/>
  <c r="K64" i="34"/>
  <c r="K52" i="61"/>
  <c r="K84" i="46"/>
  <c r="L42" i="62"/>
  <c r="H64" i="34"/>
  <c r="H52" i="61"/>
  <c r="I42" i="62"/>
  <c r="H84" i="46"/>
  <c r="L64" i="34"/>
  <c r="L52" i="61"/>
  <c r="M42" i="62"/>
  <c r="L84" i="46"/>
  <c r="G63" i="34"/>
  <c r="G62" i="34"/>
  <c r="G61" i="34"/>
  <c r="B26" i="63"/>
  <c r="B27" i="63" s="1"/>
  <c r="B38" i="63"/>
  <c r="B39" i="63" s="1"/>
  <c r="H45" i="18"/>
  <c r="G45" i="18"/>
  <c r="D44" i="38"/>
  <c r="D47" i="38" s="1"/>
  <c r="C47" i="38"/>
  <c r="I41" i="18"/>
  <c r="H14" i="45" s="1"/>
  <c r="C48" i="38" l="1"/>
  <c r="I123" i="18"/>
  <c r="I160" i="18"/>
  <c r="H127" i="18"/>
  <c r="H90" i="18"/>
  <c r="H91" i="18" s="1"/>
  <c r="G127" i="18"/>
  <c r="G90" i="18"/>
  <c r="G64" i="34"/>
  <c r="G52" i="61"/>
  <c r="G84" i="46"/>
  <c r="H42" i="62"/>
  <c r="C42" i="62" s="1"/>
  <c r="E83" i="46"/>
  <c r="C51" i="61"/>
  <c r="D63" i="34"/>
  <c r="D62" i="34"/>
  <c r="D61" i="34"/>
  <c r="I45" i="18"/>
  <c r="G164" i="18"/>
  <c r="H164" i="18"/>
  <c r="H166" i="18" s="1"/>
  <c r="H171" i="18" s="1"/>
  <c r="C38" i="18"/>
  <c r="C120" i="18" s="1"/>
  <c r="G47" i="18"/>
  <c r="H47" i="18"/>
  <c r="J41" i="18"/>
  <c r="I14" i="45" s="1"/>
  <c r="J123" i="18" l="1"/>
  <c r="J160" i="18"/>
  <c r="I127" i="18"/>
  <c r="I90" i="18"/>
  <c r="I91" i="18" s="1"/>
  <c r="H55" i="18"/>
  <c r="H61" i="18"/>
  <c r="H62" i="18" s="1"/>
  <c r="H48" i="18"/>
  <c r="H129" i="18" s="1"/>
  <c r="G55" i="18"/>
  <c r="G61" i="18"/>
  <c r="G62" i="18" s="1"/>
  <c r="G48" i="18"/>
  <c r="G129" i="18" s="1"/>
  <c r="H128" i="18"/>
  <c r="H57" i="18"/>
  <c r="G128" i="18"/>
  <c r="G57" i="18"/>
  <c r="G58" i="18" s="1"/>
  <c r="D64" i="34"/>
  <c r="E84" i="46"/>
  <c r="C52" i="61"/>
  <c r="C157" i="18"/>
  <c r="G166" i="18"/>
  <c r="J45" i="18"/>
  <c r="J90" i="18" s="1"/>
  <c r="C38" i="34"/>
  <c r="I164" i="18"/>
  <c r="I166" i="18" s="1"/>
  <c r="I171" i="18" s="1"/>
  <c r="H167" i="18"/>
  <c r="H169" i="18"/>
  <c r="I47" i="18"/>
  <c r="G91" i="18"/>
  <c r="K41" i="18"/>
  <c r="J14" i="45" s="1"/>
  <c r="L41" i="18"/>
  <c r="K14" i="45" s="1"/>
  <c r="L123" i="18" l="1"/>
  <c r="L160" i="18"/>
  <c r="K123" i="18"/>
  <c r="K160" i="18"/>
  <c r="I55" i="18"/>
  <c r="I61" i="18"/>
  <c r="I62" i="18" s="1"/>
  <c r="I48" i="18"/>
  <c r="I129" i="18" s="1"/>
  <c r="G169" i="18"/>
  <c r="G171" i="18"/>
  <c r="D41" i="18"/>
  <c r="E41" i="18" s="1"/>
  <c r="J127" i="18"/>
  <c r="I128" i="18"/>
  <c r="I57" i="18"/>
  <c r="J91" i="18"/>
  <c r="G167" i="18"/>
  <c r="K45" i="18"/>
  <c r="L45" i="18"/>
  <c r="I169" i="18"/>
  <c r="I167" i="18"/>
  <c r="J47" i="18"/>
  <c r="J164" i="18"/>
  <c r="J166" i="18" s="1"/>
  <c r="J171" i="18" s="1"/>
  <c r="H58" i="18"/>
  <c r="C41" i="18"/>
  <c r="C123" i="18" s="1"/>
  <c r="J55" i="18" l="1"/>
  <c r="J61" i="18"/>
  <c r="J62" i="18" s="1"/>
  <c r="J48" i="18"/>
  <c r="J129" i="18" s="1"/>
  <c r="K127" i="18"/>
  <c r="K90" i="18"/>
  <c r="K91" i="18" s="1"/>
  <c r="L127" i="18"/>
  <c r="L90" i="18"/>
  <c r="L91" i="18" s="1"/>
  <c r="D45" i="18"/>
  <c r="E45" i="18" s="1"/>
  <c r="J57" i="18"/>
  <c r="J128" i="18"/>
  <c r="L47" i="18"/>
  <c r="C160" i="18"/>
  <c r="K164" i="18"/>
  <c r="K166" i="18" s="1"/>
  <c r="J169" i="18"/>
  <c r="I58" i="18"/>
  <c r="L164" i="18"/>
  <c r="L166" i="18" s="1"/>
  <c r="L171" i="18" s="1"/>
  <c r="K47" i="18"/>
  <c r="J167" i="18"/>
  <c r="K55" i="18" l="1"/>
  <c r="K48" i="18"/>
  <c r="K129" i="18" s="1"/>
  <c r="K61" i="18"/>
  <c r="K62" i="18" s="1"/>
  <c r="L55" i="18"/>
  <c r="L48" i="18"/>
  <c r="L61" i="18"/>
  <c r="L62" i="18" s="1"/>
  <c r="K167" i="18"/>
  <c r="L167" i="18" s="1"/>
  <c r="K171" i="18"/>
  <c r="L57" i="18"/>
  <c r="D47" i="18"/>
  <c r="E47" i="18" s="1"/>
  <c r="K128" i="18"/>
  <c r="K57" i="18"/>
  <c r="L128" i="18"/>
  <c r="C91" i="18"/>
  <c r="C164" i="18"/>
  <c r="C166" i="18" s="1"/>
  <c r="C169" i="18" s="1"/>
  <c r="K169" i="18"/>
  <c r="C90" i="18"/>
  <c r="J58" i="18"/>
  <c r="L169" i="18" l="1"/>
  <c r="K58" i="18"/>
  <c r="L129" i="18"/>
  <c r="L58" i="18" l="1"/>
  <c r="F45" i="18" l="1"/>
  <c r="C36" i="18"/>
  <c r="C118" i="18" s="1"/>
  <c r="D14" i="45"/>
  <c r="F47" i="18" l="1"/>
  <c r="F55" i="18" s="1"/>
  <c r="F127" i="18"/>
  <c r="C45" i="18"/>
  <c r="C127" i="18" s="1"/>
  <c r="F128" i="18" l="1"/>
  <c r="F57" i="18"/>
  <c r="F49" i="18"/>
  <c r="G49" i="18" s="1"/>
  <c r="H49" i="18" s="1"/>
  <c r="I49" i="18" s="1"/>
  <c r="J49" i="18" s="1"/>
  <c r="K49" i="18" s="1"/>
  <c r="L49" i="18" s="1"/>
  <c r="F63" i="18"/>
  <c r="F131" i="18" s="1"/>
  <c r="C47" i="18"/>
  <c r="C128" i="18" s="1"/>
  <c r="G63" i="18" l="1"/>
  <c r="G64" i="18" s="1"/>
  <c r="H63" i="18" l="1"/>
  <c r="H64" i="18" s="1"/>
  <c r="G131" i="18"/>
  <c r="H131" i="18" l="1"/>
  <c r="I63" i="18"/>
  <c r="I64" i="18" s="1"/>
  <c r="I131" i="18" l="1"/>
  <c r="J63" i="18"/>
  <c r="J64" i="18" s="1"/>
  <c r="J131" i="18" l="1"/>
  <c r="K63" i="18"/>
  <c r="K64" i="18" s="1"/>
  <c r="K131" i="18" l="1"/>
  <c r="L63" i="18"/>
  <c r="L64" i="18" s="1"/>
  <c r="L131" i="18" l="1"/>
  <c r="F284" i="35" l="1"/>
  <c r="F225" i="35" l="1"/>
  <c r="F199" i="35" l="1"/>
  <c r="F283" i="35"/>
  <c r="I225" i="35"/>
  <c r="I284" i="35"/>
  <c r="H225" i="35"/>
  <c r="H284" i="35"/>
  <c r="G225" i="35"/>
  <c r="G284" i="35"/>
  <c r="J225" i="35" l="1"/>
  <c r="F291" i="35"/>
  <c r="F200" i="35"/>
  <c r="I283" i="35"/>
  <c r="I199" i="35"/>
  <c r="G283" i="35"/>
  <c r="G199" i="35"/>
  <c r="J283" i="35"/>
  <c r="F287" i="35"/>
  <c r="J287" i="35" s="1"/>
  <c r="F270" i="35"/>
  <c r="H283" i="35"/>
  <c r="H199" i="35"/>
  <c r="F268" i="35"/>
  <c r="J284" i="35"/>
  <c r="F292" i="35" l="1"/>
  <c r="F202" i="35"/>
  <c r="F294" i="35" s="1"/>
  <c r="I291" i="35"/>
  <c r="I268" i="35" s="1"/>
  <c r="I200" i="35"/>
  <c r="H291" i="35"/>
  <c r="H268" i="35" s="1"/>
  <c r="H200" i="35"/>
  <c r="G291" i="35"/>
  <c r="J291" i="35" s="1"/>
  <c r="G200" i="35"/>
  <c r="J199" i="35"/>
  <c r="G270" i="35"/>
  <c r="G287" i="35"/>
  <c r="H270" i="35"/>
  <c r="H287" i="35"/>
  <c r="I270" i="35"/>
  <c r="I287" i="35"/>
  <c r="G268" i="35" l="1"/>
  <c r="J268" i="35" s="1"/>
  <c r="G202" i="35"/>
  <c r="G294" i="35" s="1"/>
  <c r="G271" i="35" s="1"/>
  <c r="G292" i="35"/>
  <c r="G269" i="35" s="1"/>
  <c r="F271" i="35"/>
  <c r="H292" i="35"/>
  <c r="H202" i="35"/>
  <c r="H294" i="35" s="1"/>
  <c r="H271" i="35" s="1"/>
  <c r="J200" i="35"/>
  <c r="J202" i="35" s="1"/>
  <c r="I292" i="35"/>
  <c r="I202" i="35"/>
  <c r="I294" i="35" s="1"/>
  <c r="I271" i="35" s="1"/>
  <c r="F269" i="35"/>
  <c r="F297" i="35"/>
  <c r="F299" i="35" s="1"/>
  <c r="G274" i="35" l="1"/>
  <c r="G276" i="35" s="1"/>
  <c r="J292" i="35"/>
  <c r="G297" i="35"/>
  <c r="G299" i="35" s="1"/>
  <c r="F274" i="35"/>
  <c r="F276" i="35" s="1"/>
  <c r="H269" i="35"/>
  <c r="H274" i="35" s="1"/>
  <c r="H276" i="35" s="1"/>
  <c r="H297" i="35"/>
  <c r="H299" i="35" s="1"/>
  <c r="I269" i="35"/>
  <c r="I274" i="35" s="1"/>
  <c r="I276" i="35" s="1"/>
  <c r="I297" i="35"/>
  <c r="I299" i="35" s="1"/>
  <c r="J294" i="35"/>
  <c r="J271" i="35"/>
  <c r="J269" i="35" l="1"/>
</calcChain>
</file>

<file path=xl/comments1.xml><?xml version="1.0" encoding="utf-8"?>
<comments xmlns="http://schemas.openxmlformats.org/spreadsheetml/2006/main">
  <authors>
    <author>tc={C9720B80-4DE7-4342-B7EE-57EDC974AF12}</author>
    <author>tc={9909DB41-4054-4051-8E9D-3A06A152DDC1}</author>
    <author>tc={AE8693CC-D799-40D8-BC0A-DDEFCADE3B8B}</author>
    <author>tc={14D4832A-A429-4B66-9D06-54B3C5043617}</author>
    <author>tc={B847000C-AC3D-464A-9FCB-AF07C0B48B0E}</author>
    <author>tc={B6F42B41-A78D-412D-AF3D-9126A5E0D606}</author>
    <author>tc={60129E67-CD70-46E7-91DA-906463589E3F}</author>
    <author>tc={E0B74DCF-2136-4060-977D-5542CAFEBFAB}</author>
  </authors>
  <commentList>
    <comment ref="C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Freeze pane anchor cell.</t>
        </r>
      </text>
    </comment>
    <comment ref="B13"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renamed to match profile</t>
        </r>
      </text>
    </comment>
    <comment ref="B3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renamed to match profile and other tabs</t>
        </r>
      </text>
    </comment>
    <comment ref="C36"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Numbers now pulling from depreciation based expenses instead of cash acquisition cost.</t>
        </r>
      </text>
    </comment>
    <comment ref="B114"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118"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135"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155"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List>
</comments>
</file>

<file path=xl/comments2.xml><?xml version="1.0" encoding="utf-8"?>
<comments xmlns="http://schemas.openxmlformats.org/spreadsheetml/2006/main">
  <authors>
    <author>tc={87EFE0C2-FEF2-455B-9DF6-67099F02ADE0}</author>
    <author>tc={F01B7D95-1612-4E39-9CC5-6D2B6DA04B58}</author>
    <author>tc={FC7B4D31-52E5-4D8E-9CFD-7E893C787CAE}</author>
    <author>tc={3148EB90-8AD1-426D-8608-1AB43F281B40}</author>
  </authors>
  <commentList>
    <comment ref="B3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r>
      </text>
    </comment>
    <comment ref="H3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r>
      </text>
    </comment>
    <comment ref="B5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r>
      </text>
    </comment>
    <comment ref="H56"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r>
      </text>
    </comment>
  </commentList>
</comments>
</file>

<file path=xl/comments3.xml><?xml version="1.0" encoding="utf-8"?>
<comments xmlns="http://schemas.openxmlformats.org/spreadsheetml/2006/main">
  <authors>
    <author>tc={44638AEC-F4AF-481B-B482-D02A8E76DFE4}</author>
    <author>Michael Dang</author>
    <author>tc={FAF9EAF0-2408-4BEA-AA7F-D3ED4C6366EF}</author>
    <author>tc={B4A5A7BE-9ECA-44B0-A7A9-E6BB00275A8D}</author>
  </authors>
  <commentList>
    <comment ref="D12"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r>
      </text>
    </comment>
    <comment ref="E43" authorId="1" shapeId="0">
      <text>
        <r>
          <rPr>
            <b/>
            <sz val="9"/>
            <color indexed="81"/>
            <rFont val="Tahoma"/>
            <family val="2"/>
          </rPr>
          <t>Michael Dang:</t>
        </r>
        <r>
          <rPr>
            <sz val="9"/>
            <color indexed="81"/>
            <rFont val="Tahoma"/>
            <family val="2"/>
          </rPr>
          <t xml:space="preserve">
"</t>
        </r>
        <r>
          <rPr>
            <b/>
            <sz val="9"/>
            <color indexed="81"/>
            <rFont val="Tahoma"/>
            <family val="2"/>
          </rPr>
          <t>Estimated Overall Enrollment</t>
        </r>
        <r>
          <rPr>
            <sz val="9"/>
            <color indexed="81"/>
            <rFont val="Tahoma"/>
            <family val="2"/>
          </rPr>
          <t xml:space="preserve">" Enrollment statistics for special populations often count a student in multiple categories, such as SPED &amp; FRL, or SPED, ELL and FRL. The NDE or SPCSA numbers and percentages you typically see are assumed to include multiple category (Duplication) student counts.  Your </t>
        </r>
        <r>
          <rPr>
            <b/>
            <sz val="9"/>
            <color indexed="81"/>
            <rFont val="Tahoma"/>
            <family val="2"/>
          </rPr>
          <t xml:space="preserve">"Estimated Overall Enrollment" </t>
        </r>
        <r>
          <rPr>
            <sz val="9"/>
            <color indexed="81"/>
            <rFont val="Tahoma"/>
            <family val="2"/>
          </rPr>
          <t xml:space="preserve"> estimates should align with the general special population percentage estimates. You can find the NDE Enrollment Excel files and calculate these initial percentages that we generally see here: https://doe.nv.gov/DataCenter/Enrollment/
The PCFP will only pay a school additional funding for one of however many special population groups a student may belong to.  So, these information sets in D40:F47 are designed to help you estimate the likely number of students if they could only be counted in one of their multiple categories.  This is the first time applicants and the SPCSA are estimating this information so do the best you can.  
Your "</t>
        </r>
        <r>
          <rPr>
            <b/>
            <sz val="9"/>
            <color indexed="81"/>
            <rFont val="Tahoma"/>
            <family val="2"/>
          </rPr>
          <t>Estimated % w/Duplication</t>
        </r>
        <r>
          <rPr>
            <sz val="9"/>
            <color indexed="81"/>
            <rFont val="Tahoma"/>
            <family val="2"/>
          </rPr>
          <t>" estimates are your estimates of how much duplication you estimate are likely in each category .  Say you believe 5% of your ELL students may also be SpEd students.  You would enter 5% here.   
Enrollment statistics for special populations often count a student in multiple categories, such as SPED &amp; FRL, or SPED, ELL and FRL. Your "Estimated % w/Duplication" estimates should align with the general special population percentage estimates.  
Since SpEd is the category with the highest additional funding support it is assumed that a school will want all SpEd students to be counted in this SpEd category. That is why this category is grayed out. 
For example, an AR-SpEd cannot be counted in both categories. The SpEd category provides 23% additional funding compared to the 3% additional funding for AR.  So, again, it is assumed the school will select the category with the highest additional funding support--since the school can only be funded additional State support for one of however many State categories the student may qualify for. 
The student may qualify for other federal categories.</t>
        </r>
      </text>
    </comment>
    <comment ref="B51" authorId="1" shapeId="0">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C70"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$350. 2019.11.14</t>
        </r>
      </text>
    </comment>
    <comment ref="C74"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$1,500. 2019.11.14</t>
        </r>
      </text>
    </comment>
    <comment ref="B100" authorId="1" shapeId="0">
      <text>
        <r>
          <rPr>
            <b/>
            <sz val="9"/>
            <color indexed="81"/>
            <rFont val="Tahoma"/>
            <family val="2"/>
          </rPr>
          <t>Michael Dang:</t>
        </r>
        <r>
          <rPr>
            <sz val="9"/>
            <color indexed="81"/>
            <rFont val="Tahoma"/>
            <family val="2"/>
          </rPr>
          <t xml:space="preserve">
Replication and Expansion of High-Quality Schools 
Grants for the Replication and Expansion of High-Quality Schools (R&amp;E grants) provide funding for nonprofit charter management organizations (CMOs) serving two or more schools. These funds do not flow through state education agencies; they are awarded directly by the U.S. Department of Education to CMOs that have successful track records in improving student achievement. These charter school leaders must show evidence of increasing academic achievement and attainment for all students, have sound financial and business management plans, and have plans in place to close schools that do not meet high standards of academic performance. Since 2010, 24 nonprofit CMOs have opened more than 400 new schools in 23 states and the District of Columbia. 
http://www.publiccharters.org/sites/default/files/migrated/wp-content/uploads/2016/01/National-Alliance-Federal-Role-Charters.pdf</t>
        </r>
      </text>
    </comment>
    <comment ref="B101" authorId="1" shapeId="0">
      <text>
        <r>
          <rPr>
            <b/>
            <sz val="9"/>
            <color indexed="81"/>
            <rFont val="Tahoma"/>
            <family val="2"/>
          </rPr>
          <t>Michael Dang:</t>
        </r>
        <r>
          <rPr>
            <sz val="9"/>
            <color indexed="81"/>
            <rFont val="Tahoma"/>
            <family val="2"/>
          </rPr>
          <t xml:space="preserve">
State Education Agency grant program (SEA grants)</t>
        </r>
      </text>
    </comment>
  </commentList>
</comments>
</file>

<file path=xl/comments4.xml><?xml version="1.0" encoding="utf-8"?>
<comments xmlns="http://schemas.openxmlformats.org/spreadsheetml/2006/main">
  <authors>
    <author>tc={428C169F-7646-4CB0-B350-6B3997D0EBEC}</author>
    <author>tc={BDF6EB88-3B12-45EF-B31B-51448D1C1895}</author>
    <author>tc={CC4CE2D3-F1FC-4593-8BE0-D7109E7EAC25}</author>
    <author>tc={747F349B-9CDE-4C7C-8445-7504F225BB0C}</author>
    <author>tc={5F5A5891-0F7E-438F-98FE-D46B19DAAF7A}</author>
    <author>tc={E1B0AABC-FE85-4305-BCDA-D864236FBEFC}</author>
    <author>tc={105A4EF2-9C02-45A7-B312-9628B5927DF1}</author>
    <author>tc={5FEA338C-255D-43F8-9B7C-705D98B58B85}</author>
  </authors>
  <commentList>
    <comment ref="B1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to align with profile tab</t>
        </r>
      </text>
    </comment>
    <comment ref="F1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=(B14/4)*0.75 used to reflect not getting full amount in Q1 but getting balance of payments equally for remaining quarters--for those on a quarterly payment plan.
Reply:
    Typically paid ~ 0.75~ of estimate and then the 0.25 is made up over the rest of the year.  See Sage formula; based on enrollment count in May.</t>
        </r>
      </text>
    </comment>
    <comment ref="I14"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used to reflect getting balance of payments equally for remaining quarters--for those on a quarterly payment plan.</t>
        </r>
      </text>
    </comment>
    <comment ref="B35"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to line up with profile and other tabs</t>
        </r>
      </text>
    </comment>
    <comment ref="E35"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conditional formatting added</t>
        </r>
      </text>
    </comment>
    <comment ref="B73"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95"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117"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lines to display cash expenses for each month as a percentage of the beginning and ending cash balance to highlight areas of potential liquidity concerns.</t>
        </r>
      </text>
    </comment>
  </commentList>
</comments>
</file>

<file path=xl/comments5.xml><?xml version="1.0" encoding="utf-8"?>
<comments xmlns="http://schemas.openxmlformats.org/spreadsheetml/2006/main">
  <authors>
    <author>tc={5A0A3B32-63B9-42AC-8F5E-76D6B93E179E}</author>
    <author>tc={3FB75770-6A7E-41E4-989A-899F878C4E99}</author>
    <author>tc={9FA39296-9023-4041-80FE-8575CCE2873E}</author>
    <author>Michael Dang</author>
    <author>tc={D1F6324D-8682-456C-9C83-BF47E7B5D48E}</author>
  </authors>
  <commentList>
    <comment ref="B55"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PERS, 7/10/2020 :
* Charter Schools are Choice agencies so all PERS eligible employees would have the option to select the Employer paid or the Employee/Employer paid contribution plan if the employee has never selected the Employer paid plan in the past at a choice employer.
* For some School Districts their Certified employees are Non Choice and must be reported under the Employer Paid plan, and their non certified staff for some Districts do have a choice of plans. I believe the certified/ non certified would apply more to the School Districts in the State, and not the Charter Schools.  
PERS, 4/14/2020 :
* The Employer Paid rate is 29.25% and the Employee/ Employer Paid plan is 15.25% for the EE and 15.25% for the Employer.
PERS Policy Manual:
https://www.nvpers.org/public/employers/PERS%20Official%20Policies.pdf
CONTRIBUTION PLAN ELECTION 
286.200 3.44 New hires after January 1, 1991, of the employee groups enumerated in Policy 3.24 shall have the option to:
  a. Contribute under the employee/employer contribution plan, or 
  b. Contribute under the employer-pay contribution plan. 
286.200 3.45 New hires under Policy 3.44 who elect to contribute under the employee/employer contribution plan may: 
  a. At any time after their date of hire, elect to contribute under the employer-pay contribution plan but,
  b. Once they elect to contribute under the employer-pay contribution plan may not thereafter revert to the employee/employer contribution plan.
286.200 3.46 New hires failing to make an election to contribute under either the employee/employer contribution plan or the employer-pay contribution plan under Policy 3.44 shall be enrolled in the employee/employer contribution plan. 
</t>
        </r>
      </text>
    </comment>
    <comment ref="C57" authorId="1"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
        </r>
      </text>
    </comment>
    <comment ref="G133"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You may now increase/decrease staff counts in this section of the model.</t>
        </r>
      </text>
    </comment>
    <comment ref="B387" authorId="3" shapeId="0">
      <text>
        <r>
          <rPr>
            <b/>
            <sz val="9"/>
            <color indexed="81"/>
            <rFont val="Tahoma"/>
            <family val="2"/>
          </rPr>
          <t>Michael Dang:</t>
        </r>
        <r>
          <rPr>
            <sz val="9"/>
            <color indexed="81"/>
            <rFont val="Tahoma"/>
            <family val="2"/>
          </rPr>
          <t xml:space="preserve">
This inflation formula is an estimator.  It provides a simple estimated inflation amount for alll salaries.  It is applied to the salaries for the one year in question--whether or not the salaries for that year have received any due inflation from the prior year.  In other words, there is no compound inflation being applied so the total inflation and salary expenses would be slightly higher w/adjusted fliers.  
In other words, there is no compounded salary increase for a staff who was there the prior year or more.    
This model allows direct or manual data entry into data cells.  Consequently, at this time we don't want the model to appear too complex.  That said, the "error" from not using compounded inflation should be minor.  For one thing, we're modeling only for a six year contract. And </t>
        </r>
      </text>
    </comment>
    <comment ref="B42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E.g., 0.5 + 0.5 + 0.25 + 0.6 = 1.85 PTE</t>
        </r>
      </text>
    </comment>
  </commentList>
</comments>
</file>

<file path=xl/comments6.xml><?xml version="1.0" encoding="utf-8"?>
<comments xmlns="http://schemas.openxmlformats.org/spreadsheetml/2006/main">
  <authors>
    <author>tc={88D99629-9430-4799-888B-536E1B48C1B0}</author>
    <author>tc={B7BA76B9-72DC-4B51-84FC-DCB653FB95D7}</author>
    <author>tc={BB876C0D-D72D-40DF-BBA0-A96536A8DE50}</author>
    <author>tc={1CF34B65-6989-4C5E-895F-D702F9E5C6C4}</author>
    <author>tc={9A98AA4F-1C78-4B0C-ADC0-E55A5537B0DC}</author>
    <author>tc={B89FAE20-3CE4-47C1-AE62-E249220CB33F}</author>
    <author>tc={8B1027DD-1690-4078-BE4E-8CCE2602C947}</author>
    <author>tc={081B3B9E-102C-4FB3-AD68-C0B3B1CBEAFF}</author>
    <author>Michael Dang</author>
  </authors>
  <commentList>
    <comment ref="D12"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r>
      </text>
    </comment>
    <comment ref="B66"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removed marketing from this section</t>
        </r>
      </text>
    </comment>
    <comment ref="D10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year</t>
        </r>
      </text>
    </comment>
    <comment ref="D108"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year</t>
        </r>
      </text>
    </comment>
    <comment ref="D113"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student</t>
        </r>
      </text>
    </comment>
    <comment ref="D114"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student (not covered by Title I)</t>
        </r>
      </text>
    </comment>
    <comment ref="D115"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student</t>
        </r>
      </text>
    </comment>
    <comment ref="D116"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Input "yes or "no"</t>
        </r>
      </text>
    </comment>
    <comment ref="B161" authorId="8" shapeId="0">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7.xml><?xml version="1.0" encoding="utf-8"?>
<comments xmlns="http://schemas.openxmlformats.org/spreadsheetml/2006/main">
  <authors>
    <author>tc={8EDDD725-5C94-46C0-924D-C11E83DCC10F}</author>
    <author>Michael Dang</author>
    <author>tc={049FD8B7-A556-4458-B741-9CE337C84F58}</author>
    <author>tc={7EE94EAF-B192-4E48-A3B1-248D938F898C}</author>
    <author>tc={70378DE7-6B40-4D69-A2B5-CDAE21ECCA12}</author>
    <author>tc={4D20B39F-CCD5-40F6-88A7-DA908090EB1A}</author>
    <author>tc={5A1E9927-B689-4F2F-9FDF-9AC411BA394B}</author>
    <author>tc={8B4CE012-06EE-44EF-B9A4-70A151D8CD64}</author>
    <author>tc={4A77444D-2667-414A-ACA6-5CACB9E7392C}</author>
    <author>tc={C044C3D4-0587-448F-AE58-11BAA9E73751}</author>
    <author>tc={CE06D8D1-4B55-4EF4-8B14-2444C8B0CA22}</author>
  </authors>
  <commentList>
    <comment ref="C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Freeze Pane Anchor cell</t>
        </r>
      </text>
    </comment>
    <comment ref="F21" authorId="1" shapeId="0">
      <text>
        <r>
          <rPr>
            <b/>
            <sz val="9"/>
            <color indexed="81"/>
            <rFont val="Tahoma"/>
            <family val="2"/>
          </rPr>
          <t>Michael Dang:</t>
        </r>
        <r>
          <rPr>
            <sz val="9"/>
            <color indexed="81"/>
            <rFont val="Tahoma"/>
            <family val="2"/>
          </rPr>
          <t xml:space="preserve">
Overwrite this with the actual lease rate likely for a new occupancy and partial year.</t>
        </r>
      </text>
    </comment>
    <comment ref="F34"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r>
      </text>
    </comment>
    <comment ref="G34"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r>
      </text>
    </comment>
    <comment ref="F35"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G35"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F65"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G65"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F66"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r>
      </text>
    </comment>
    <comment ref="G66"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r>
      </text>
    </comment>
    <comment ref="F70"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List>
</comments>
</file>

<file path=xl/comments8.xml><?xml version="1.0" encoding="utf-8"?>
<comments xmlns="http://schemas.openxmlformats.org/spreadsheetml/2006/main">
  <authors>
    <author>tc={F988B70B-290B-4766-ABAF-6F3E355164A9}</author>
    <author>tc={3FF9201C-DBC8-4F22-A8BB-367D4D170A1D}</author>
  </authors>
  <commentList>
    <comment ref="C1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depreciation schedules with asset lives based on their category in the Nevada PPM</t>
        </r>
      </text>
    </comment>
    <comment ref="C18"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you can comment here</t>
        </r>
      </text>
    </comment>
  </commentList>
</comments>
</file>

<file path=xl/comments9.xml><?xml version="1.0" encoding="utf-8"?>
<comments xmlns="http://schemas.openxmlformats.org/spreadsheetml/2006/main">
  <authors>
    <author>tc={AE20A937-C675-4D93-974B-C8C4FB974162}</author>
  </authors>
  <commentList>
    <comment ref="Q1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Used SY 2017-18 projections from NDE Budget Template</t>
        </r>
      </text>
    </comment>
  </commentList>
</comments>
</file>

<file path=xl/comments10.xml><?xml version="1.0" encoding="utf-8"?>
<comments xmlns="http://schemas.openxmlformats.org/spreadsheetml/2006/main">
  <authors>
    <author>tc={5A0475E5-6B0D-4D68-9F79-BF251AC40EF8}</author>
  </authors>
  <commentList>
    <comment ref="B36"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r>
      </text>
    </comment>
  </commentList>
</comments>
</file>

<file path=xl/comments11.xml><?xml version="1.0" encoding="utf-8"?>
<comments xmlns="http://schemas.openxmlformats.org/spreadsheetml/2006/main">
  <authors>
    <author>tc={3A938AAD-556B-4D4E-BDCA-B0961C23113C}</author>
  </authors>
  <commentList>
    <comment ref="B3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<sst xmlns="http://schemas.openxmlformats.org/spreadsheetml/2006/main" count="2764" uniqueCount="1330">
  <si>
    <t>Instructions</t>
  </si>
  <si>
    <t>Mike Dang, 702.486.8879</t>
  </si>
  <si>
    <t>TOC</t>
  </si>
  <si>
    <t>FINANCIAL PLAN WORKBOOK INSTRUCTIONS</t>
  </si>
  <si>
    <t xml:space="preserve">This New School Application Financial Plan/Pro Forma workbook was designed to show the financial implications of a school plan and assumptions before and during a six-year school contract.  It enables the applicant, the SPCSA and other stakeholders to analyze potential fiscal impacts of that plan.  This is a protected workbook and data should only be entered in the unprotected cells (yellow cells). To maximize usage of the Financial Plan Workbook, please familiarize yourself with the following general instructions prior to data entry.  
We have tried to design this to be as simple as possible yet as comprehensive as possible to help applicants think through fiscal impacting assumptions and for reviewers to see the impacts of those assumptions.
Contact us with any questions.  </t>
  </si>
  <si>
    <t>School Inputs</t>
  </si>
  <si>
    <t xml:space="preserve">Enter your assumptions in the light yellow cells of the various tabs of this workbook, beginning with the Cover "tab" or "worksheet."  Overwrite any placeholder assumptions currently in those cells.
FTE stands for Full-Time Equivalent.  If this term is unfamiliar, please consult with an individual experienced in budgeting and pupil accounting. If your budget plans include staff less than full time use a decimal to indicate the portion.  Contact or inform the State Public Charter School Authority of this if you perceive any issues in the related expennses and other impacts in this budget tool. </t>
  </si>
  <si>
    <t>Summary tab</t>
  </si>
  <si>
    <t>No entry needed on this tab</t>
  </si>
  <si>
    <t>Market tab</t>
  </si>
  <si>
    <t>Use this tab to show your target market, planned enrollments and potential demand and demographics of the "feeder" schools in your  planned service area.</t>
  </si>
  <si>
    <r>
      <rPr>
        <b/>
        <sz val="11"/>
        <color indexed="8"/>
        <rFont val="Calibri"/>
        <family val="2"/>
      </rPr>
      <t>1.</t>
    </r>
    <r>
      <rPr>
        <sz val="11"/>
        <color theme="1"/>
        <rFont val="Calibri"/>
        <family val="2"/>
        <scheme val="minor"/>
      </rPr>
      <t xml:space="preserve"> Please enter a Base Year into 'H2'. Additionally, please enter the appropriate school years in cells H5 through N5 as well as H6 through N6.</t>
    </r>
  </si>
  <si>
    <r>
      <rPr>
        <b/>
        <sz val="11"/>
        <color indexed="8"/>
        <rFont val="Calibri"/>
        <family val="2"/>
      </rPr>
      <t>2.</t>
    </r>
    <r>
      <rPr>
        <sz val="11"/>
        <color theme="1"/>
        <rFont val="Calibri"/>
        <family val="2"/>
        <scheme val="minor"/>
      </rPr>
      <t xml:space="preserve"> Next, be sure to enter your projected student enrollment in the enrollment section. This section caputres the number of students by grade level (Rows 7-21) and by school year (Columns H-N). </t>
    </r>
  </si>
  <si>
    <r>
      <rPr>
        <b/>
        <sz val="11"/>
        <color indexed="8"/>
        <rFont val="Calibri"/>
        <family val="2"/>
      </rPr>
      <t>3.</t>
    </r>
    <r>
      <rPr>
        <sz val="11"/>
        <color theme="1"/>
        <rFont val="Calibri"/>
        <family val="2"/>
        <scheme val="minor"/>
      </rPr>
      <t xml:space="preserve"> In cells I24 through N25, please enter your school's percentage of Title 1 students. Similarly, in cells I24 through N24, enter your institution's percentage of special education students.</t>
    </r>
  </si>
  <si>
    <t>Enter your Title 1, IDEA (cost per SPED student) and school level fundraising income per student. Each of these entries will automatically calculate the revenue line items for BEP, Title 1, IDEA and school level funding.</t>
  </si>
  <si>
    <t>Any remaining revenue entries can be manually accounted for in the following subgroups:</t>
  </si>
  <si>
    <t xml:space="preserve">                               Charter Start-Up Funds</t>
  </si>
  <si>
    <t xml:space="preserve">                               Other Start-Up Grant Funds</t>
  </si>
  <si>
    <t xml:space="preserve">                               Student Fees (As allowed by other public schools)</t>
  </si>
  <si>
    <t xml:space="preserve">                               Investment Income</t>
  </si>
  <si>
    <t xml:space="preserve">                               Private fundraising (foundations, corporate)</t>
  </si>
  <si>
    <t xml:space="preserve">                               Private Fundraising</t>
  </si>
  <si>
    <t>The staffing and compensation assumptions section will require input data on not only the charter school's staffing levels and average salaries, but it will also require the preparer to provide benefits data in order to provide the charter school with realistic financial projections. Please follow the instructions below:</t>
  </si>
  <si>
    <r>
      <rPr>
        <b/>
        <sz val="11"/>
        <color indexed="8"/>
        <rFont val="Calibri"/>
        <family val="2"/>
      </rPr>
      <t>1.</t>
    </r>
    <r>
      <rPr>
        <sz val="11"/>
        <color theme="1"/>
        <rFont val="Calibri"/>
        <family val="2"/>
        <scheme val="minor"/>
      </rPr>
      <t xml:space="preserve"> Enter the average medical benefits for employees with both single and family coverage into cells 'F62' and 'F63'. </t>
    </r>
  </si>
  <si>
    <r>
      <rPr>
        <b/>
        <sz val="11"/>
        <color indexed="8"/>
        <rFont val="Calibri"/>
        <family val="2"/>
      </rPr>
      <t>2.</t>
    </r>
    <r>
      <rPr>
        <sz val="11"/>
        <color theme="1"/>
        <rFont val="Calibri"/>
        <family val="2"/>
        <scheme val="minor"/>
      </rPr>
      <t xml:space="preserve"> Second, enter the school's percentage of coverage.</t>
    </r>
  </si>
  <si>
    <r>
      <rPr>
        <b/>
        <sz val="11"/>
        <color indexed="8"/>
        <rFont val="Calibri"/>
        <family val="2"/>
      </rPr>
      <t>3.</t>
    </r>
    <r>
      <rPr>
        <sz val="11"/>
        <color theme="1"/>
        <rFont val="Calibri"/>
        <family val="2"/>
        <scheme val="minor"/>
      </rPr>
      <t xml:space="preserve"> Enter the assumed percentage of employees choosing single for their health benefits.</t>
    </r>
  </si>
  <si>
    <r>
      <rPr>
        <b/>
        <sz val="11"/>
        <color indexed="8"/>
        <rFont val="Calibri"/>
        <family val="2"/>
      </rPr>
      <t xml:space="preserve">4. </t>
    </r>
    <r>
      <rPr>
        <sz val="11"/>
        <color theme="1"/>
        <rFont val="Calibri"/>
        <family val="2"/>
        <scheme val="minor"/>
      </rPr>
      <t>Enter the percentage of your employee's salaries that will be allocated to FICA, State Retirement for Certified Employees, State Retirement for Non-Certified Employees and Life Insurance.</t>
    </r>
  </si>
  <si>
    <r>
      <rPr>
        <b/>
        <sz val="11"/>
        <color indexed="8"/>
        <rFont val="Calibri"/>
        <family val="2"/>
      </rPr>
      <t>5.</t>
    </r>
    <r>
      <rPr>
        <sz val="11"/>
        <color theme="1"/>
        <rFont val="Calibri"/>
        <family val="2"/>
        <scheme val="minor"/>
      </rPr>
      <t xml:space="preserve"> Enter any per-employee expenses associated with GASB 45 and Unemployment Insurance.</t>
    </r>
  </si>
  <si>
    <r>
      <rPr>
        <b/>
        <sz val="11"/>
        <color indexed="8"/>
        <rFont val="Calibri"/>
        <family val="2"/>
      </rPr>
      <t>6.</t>
    </r>
    <r>
      <rPr>
        <sz val="11"/>
        <color theme="1"/>
        <rFont val="Calibri"/>
        <family val="2"/>
        <scheme val="minor"/>
      </rPr>
      <t xml:space="preserve"> Payroll services are accounted for as a dollar value on a per employee/per month basis.</t>
    </r>
  </si>
  <si>
    <r>
      <rPr>
        <b/>
        <sz val="11"/>
        <color indexed="8"/>
        <rFont val="Calibri"/>
        <family val="2"/>
      </rPr>
      <t>7.</t>
    </r>
    <r>
      <rPr>
        <sz val="11"/>
        <color theme="1"/>
        <rFont val="Calibri"/>
        <family val="2"/>
        <scheme val="minor"/>
      </rPr>
      <t xml:space="preserve"> Any bonuses should be input and will be calculated as a percentage of salaried employees. </t>
    </r>
  </si>
  <si>
    <r>
      <rPr>
        <b/>
        <sz val="11"/>
        <color indexed="8"/>
        <rFont val="Calibri"/>
        <family val="2"/>
      </rPr>
      <t>8.</t>
    </r>
    <r>
      <rPr>
        <sz val="11"/>
        <color theme="1"/>
        <rFont val="Calibri"/>
        <family val="2"/>
        <scheme val="minor"/>
      </rPr>
      <t xml:space="preserve"> Be sure to enter your school's instructional days per year (required) as well as the Saturday schools per year, contractors required for Saturday school and price per contractor (if necessary).</t>
    </r>
  </si>
  <si>
    <r>
      <rPr>
        <b/>
        <sz val="11"/>
        <color indexed="8"/>
        <rFont val="Calibri"/>
        <family val="2"/>
      </rPr>
      <t>9.</t>
    </r>
    <r>
      <rPr>
        <sz val="11"/>
        <color theme="1"/>
        <rFont val="Calibri"/>
        <family val="2"/>
        <scheme val="minor"/>
      </rPr>
      <t xml:space="preserve"> The employee salaries and staffing levels should be entered in each designated area. For example, administrators such as the School Director should be entered into the Administrator section. The positions, salaries and staffing levels in this section are marked for input, so feel free to adjust the position levels, salaries and staffing levels as your charter school finds necessary. Please note that each line represents one position, multiple positions sharing a title will each need to entered on seperate lines.</t>
    </r>
  </si>
  <si>
    <r>
      <rPr>
        <b/>
        <sz val="11"/>
        <color indexed="8"/>
        <rFont val="Calibri"/>
        <family val="2"/>
      </rPr>
      <t>10.</t>
    </r>
    <r>
      <rPr>
        <sz val="11"/>
        <color theme="1"/>
        <rFont val="Calibri"/>
        <family val="2"/>
        <scheme val="minor"/>
      </rPr>
      <t xml:space="preserve"> For part-Time employees simply enter the average salary for each respective position and enter the number of employees per year. </t>
    </r>
  </si>
  <si>
    <r>
      <rPr>
        <b/>
        <sz val="11"/>
        <color indexed="8"/>
        <rFont val="Calibri"/>
        <family val="2"/>
      </rPr>
      <t>11.</t>
    </r>
    <r>
      <rPr>
        <sz val="11"/>
        <color theme="1"/>
        <rFont val="Calibri"/>
        <family val="2"/>
        <scheme val="minor"/>
      </rPr>
      <t xml:space="preserve"> Salaries and staffing levels work in unison with the inputs you entered to get to the total salary and benefits for your charter school. Feel free to adjust any of the staffing and compensation inputs to either decrease or increase your school's total compensation. </t>
    </r>
  </si>
  <si>
    <t>The general operating expense assumptions section houses the majority of the expenditures that are necessary to operate your charter school.</t>
  </si>
  <si>
    <t>Schools should set aside an amount of 4 to 5% of revenues into a general reserve account.</t>
  </si>
  <si>
    <r>
      <rPr>
        <b/>
        <sz val="11"/>
        <color indexed="8"/>
        <rFont val="Calibri"/>
        <family val="2"/>
      </rPr>
      <t>1.</t>
    </r>
    <r>
      <rPr>
        <sz val="11"/>
        <color theme="1"/>
        <rFont val="Calibri"/>
        <family val="2"/>
        <scheme val="minor"/>
      </rPr>
      <t xml:space="preserve"> This section is user-friendly for data entry. Each general operating expense line item is tied to a driver, i.e. per year or per student. The driver is then multiplied by the dollar value that was entered, which results in the amount of that expense line item for the given year. </t>
    </r>
  </si>
  <si>
    <r>
      <rPr>
        <b/>
        <sz val="11"/>
        <color indexed="8"/>
        <rFont val="Calibri"/>
        <family val="2"/>
      </rPr>
      <t>2.</t>
    </r>
    <r>
      <rPr>
        <sz val="11"/>
        <color theme="1"/>
        <rFont val="Calibri"/>
        <family val="2"/>
        <scheme val="minor"/>
      </rPr>
      <t xml:space="preserve"> The Contracted Services section should be completed in the same manner. Here the driver is per year, therefore any annual audits or legal services need to be calculated on an annual basis. </t>
    </r>
  </si>
  <si>
    <t>Facilities tab</t>
  </si>
  <si>
    <t>Complete either the Lease or the Purchase section.</t>
  </si>
  <si>
    <t>Facilities Wkst tab</t>
  </si>
  <si>
    <t xml:space="preserve">This sheet is optional.  It is provided to help you consider your space requirements.  Some schools may seek more/less space than </t>
  </si>
  <si>
    <t xml:space="preserve">is shown in the sample ranges.  You do not need to include this tab in your print range but leave it in the working Excel file you submit. </t>
  </si>
  <si>
    <t>FFE&amp;T (Furniture, Fixtures, Equipment &amp; Technology) tab</t>
  </si>
  <si>
    <t>See "Note FFE" tab for a note regarding the depreciation approach used in this model.</t>
  </si>
  <si>
    <t>Marketing tab</t>
  </si>
  <si>
    <t>Use this tab to show your marketing plan to reach your target market.</t>
  </si>
  <si>
    <t>Insurance tab</t>
  </si>
  <si>
    <t>Use this tab only for unique pre-opening plan/budget costs. Otherwise, use the other expense sheets.</t>
  </si>
  <si>
    <t>EMO-CMO tab</t>
  </si>
  <si>
    <t>Use this tab to show your plan/budget -- if you use a EMO/CMO.</t>
  </si>
  <si>
    <t>Cashflow Year 1 tab</t>
  </si>
  <si>
    <t>Use this tab to "spread" your year 1 expenses out on a monthly basis.</t>
  </si>
  <si>
    <t>DSA Rates tab</t>
  </si>
  <si>
    <t>FYI</t>
  </si>
  <si>
    <t>Levers tab</t>
  </si>
  <si>
    <t xml:space="preserve">This page is intended to be a quick view of how each cost center is affecting overall financial performance. </t>
  </si>
  <si>
    <t>It will automatically populate as you complete the required tabs in the application. The use of this tab is completely optional and at your discretion.</t>
  </si>
  <si>
    <t>Other</t>
  </si>
  <si>
    <t>Questions?  Contact:</t>
  </si>
  <si>
    <t xml:space="preserve">Michael Hutchins, 775.687.9239, M.Hutchins@spcsa.nv.gov  </t>
  </si>
  <si>
    <t>Application Cover Sheet</t>
  </si>
  <si>
    <t>Mike Dang</t>
  </si>
  <si>
    <t>702.486.8879</t>
  </si>
  <si>
    <t>Proposed Name of School</t>
  </si>
  <si>
    <t xml:space="preserve">Planned school year starting in August </t>
  </si>
  <si>
    <t>School Year Ending (SYE)</t>
  </si>
  <si>
    <t>Name of lead contact(s)</t>
  </si>
  <si>
    <t>Phone number</t>
  </si>
  <si>
    <t xml:space="preserve">  email address</t>
  </si>
  <si>
    <t>Test</t>
  </si>
  <si>
    <t>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</si>
  <si>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</si>
  <si>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</si>
  <si>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</si>
  <si>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</si>
  <si>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</si>
  <si>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</si>
  <si>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</si>
  <si>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</si>
  <si>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Complete?</t>
  </si>
  <si>
    <t>/Applicant</t>
  </si>
  <si>
    <t>/SPCSA</t>
  </si>
  <si>
    <t>TOC Notes</t>
  </si>
  <si>
    <t>Comments (Applicant/SPCSA) (Not in print range)</t>
  </si>
  <si>
    <t>NA</t>
  </si>
  <si>
    <t>Cover Page</t>
  </si>
  <si>
    <t>Key Profile Information</t>
  </si>
  <si>
    <t>Summary</t>
  </si>
  <si>
    <t>Summary and Summary of Key Statistics</t>
  </si>
  <si>
    <t>Market</t>
  </si>
  <si>
    <t>Market (Potential Students Populations)</t>
  </si>
  <si>
    <t>Rev_ Enrol</t>
  </si>
  <si>
    <t>Revenue &amp; Enrollment</t>
  </si>
  <si>
    <t>Staff</t>
  </si>
  <si>
    <t>Expenses: Staff</t>
  </si>
  <si>
    <t>Gen Optg</t>
  </si>
  <si>
    <t>Expenses: General Operating</t>
  </si>
  <si>
    <t>Facilities</t>
  </si>
  <si>
    <t>Expenses: Facility Lease/Purchase</t>
  </si>
  <si>
    <t>FFE&amp;T</t>
  </si>
  <si>
    <t>Expenses: Furniture, Fixtures, Equipment &amp; Technology</t>
  </si>
  <si>
    <t>Ins</t>
  </si>
  <si>
    <t>Expenses: Insurance</t>
  </si>
  <si>
    <t>Marketing</t>
  </si>
  <si>
    <t>Expenses: Marketing Plan &amp; Implementation</t>
  </si>
  <si>
    <t>Incubation</t>
  </si>
  <si>
    <t>Expenses: Year zero, pre planning.</t>
  </si>
  <si>
    <t>EMO-CMO</t>
  </si>
  <si>
    <t xml:space="preserve">Expenses: Education/Charter Management Organization </t>
  </si>
  <si>
    <t>CF Y1 Mo</t>
  </si>
  <si>
    <t>Expenses: Year One--Month to Month</t>
  </si>
  <si>
    <t>Facilities wkst</t>
  </si>
  <si>
    <t>Worksheet which may help calculate Facilities costs (Not required)</t>
  </si>
  <si>
    <t>Applicable Per Pupil Revenue estimates (No completion required)</t>
  </si>
  <si>
    <t>Levers</t>
  </si>
  <si>
    <t>Select Summary Data (Not required, information only)</t>
  </si>
  <si>
    <t>Budget Summary Report</t>
  </si>
  <si>
    <t xml:space="preserve">  </t>
  </si>
  <si>
    <t>Totals/Max'/Avg</t>
  </si>
  <si>
    <t>Number of Students</t>
  </si>
  <si>
    <t>Number of Employees (FTE)</t>
  </si>
  <si>
    <t>REVENUE</t>
  </si>
  <si>
    <t>Total</t>
  </si>
  <si>
    <t>Avg/yr(1-6)</t>
  </si>
  <si>
    <t>%AvTot</t>
  </si>
  <si>
    <t>DSA Funding</t>
  </si>
  <si>
    <t>DSA Sponsorship Fee</t>
  </si>
  <si>
    <t>Title I</t>
  </si>
  <si>
    <t>Title IIA</t>
  </si>
  <si>
    <t>Title III</t>
  </si>
  <si>
    <t>Title IV</t>
  </si>
  <si>
    <t>Federal Breakfast Program</t>
  </si>
  <si>
    <t>Federal Lunch Program</t>
  </si>
  <si>
    <t>IDEA</t>
  </si>
  <si>
    <t>State Special Education Funding</t>
  </si>
  <si>
    <t>"Replication &amp; Expansion" start-up funds</t>
  </si>
  <si>
    <t>Other start-up funds (incl' SEA grants)</t>
  </si>
  <si>
    <t>Student fees</t>
  </si>
  <si>
    <t>Food Services</t>
  </si>
  <si>
    <t>Transportation</t>
  </si>
  <si>
    <t>Investment Income</t>
  </si>
  <si>
    <t>School level fundraising</t>
  </si>
  <si>
    <t>Private fundraising (foundations, corporate)</t>
  </si>
  <si>
    <t>Private fundraising (individuals)</t>
  </si>
  <si>
    <t>TOTAL PCFP REVENUE</t>
  </si>
  <si>
    <t>Total PCFP Revenue PP</t>
  </si>
  <si>
    <t>EXPENSES</t>
  </si>
  <si>
    <t xml:space="preserve">Personnel </t>
  </si>
  <si>
    <t>General Operating Expenses</t>
  </si>
  <si>
    <t>EMO Payments</t>
  </si>
  <si>
    <t>Insurance</t>
  </si>
  <si>
    <t>TOTAL EXPENSES</t>
  </si>
  <si>
    <t>SURPLUS/(DEFICIT)/Period</t>
  </si>
  <si>
    <t>The school operates only with a surplus</t>
  </si>
  <si>
    <t xml:space="preserve">     Per student</t>
  </si>
  <si>
    <t>SURPLUS/(DEFICIT)(Cumu'; capital rqt)</t>
  </si>
  <si>
    <t>Acts as a temporary estimator of cash fund balance</t>
  </si>
  <si>
    <t xml:space="preserve">    Reserves </t>
  </si>
  <si>
    <t>Debt Service Payments-1 (Interest only)</t>
  </si>
  <si>
    <t>Debt Service Payments-2 (Interest only)</t>
  </si>
  <si>
    <t>Total Debt Service</t>
  </si>
  <si>
    <t>SURPLUS/(DEFICIT) After Debt Service &amp; Reserves</t>
  </si>
  <si>
    <t xml:space="preserve">Surplus/(Deficit)-Schl &amp; Pri' Fundraising-S Fees </t>
  </si>
  <si>
    <t>Surplus/(Deficit) (Cumu')</t>
  </si>
  <si>
    <t>KEY STATISTICS</t>
  </si>
  <si>
    <t xml:space="preserve">   # students &gt; Bkeven</t>
  </si>
  <si>
    <t xml:space="preserve">   % students &gt; Bkeven</t>
  </si>
  <si>
    <t>Ending Fund Balance (cumulative)</t>
  </si>
  <si>
    <t>Cumulative Reserve/Expense</t>
  </si>
  <si>
    <t>Number of Employees</t>
  </si>
  <si>
    <t>Number of Occupants</t>
  </si>
  <si>
    <t>Growth, # students</t>
  </si>
  <si>
    <t>Number of Teachers (SPED)</t>
  </si>
  <si>
    <t>Number of Teachers (ELL)</t>
  </si>
  <si>
    <t>Number of Teachers (Grade)</t>
  </si>
  <si>
    <t>Number of Teachers (Total)</t>
  </si>
  <si>
    <t xml:space="preserve">   Student/Teacher</t>
  </si>
  <si>
    <t xml:space="preserve">   Student/Classroom w/o 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</si>
  <si>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</si>
  <si>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</si>
  <si>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</si>
  <si>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</si>
  <si>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</si>
  <si>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</si>
  <si>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</si>
  <si>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</si>
  <si>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</si>
  <si>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</si>
  <si>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</si>
  <si>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</si>
  <si>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</si>
  <si>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</si>
  <si>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</si>
  <si>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</si>
  <si>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</si>
  <si>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</si>
  <si>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PERCENT TOTAL REVENUE</t>
  </si>
  <si>
    <t>R&amp;E start-up funds</t>
  </si>
  <si>
    <t>Other start-up funds</t>
  </si>
  <si>
    <t>TOTAL REVENUE</t>
  </si>
  <si>
    <t>EMO Payments Net</t>
  </si>
  <si>
    <t>Other Pre-approval &amp; Pre-Opening</t>
  </si>
  <si>
    <t>SURPLUS/(DEFICIT)</t>
  </si>
  <si>
    <t>Ending Fund Balance (Estimator)</t>
  </si>
  <si>
    <t>PER PUPIL (AVERAGES)</t>
  </si>
  <si>
    <t>(Avg y1-6)</t>
  </si>
  <si>
    <t>SURPLUS/(DEFICIT) Per Pupil</t>
  </si>
  <si>
    <t>Ending Fund Balance</t>
  </si>
  <si>
    <t xml:space="preserve">   Surplus/Expenses (aka Annual ration)</t>
  </si>
  <si>
    <t>Market Depth (Potential Students)</t>
  </si>
  <si>
    <t>Location(s) under consideration:</t>
  </si>
  <si>
    <t>Site 1</t>
  </si>
  <si>
    <t>Specific address recommended but not required.</t>
  </si>
  <si>
    <t>SY 0/Incu</t>
  </si>
  <si>
    <t>This column area may not print but staff will review it for any notes.</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</si>
  <si>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</si>
  <si>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</si>
  <si>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</si>
  <si>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</si>
  <si>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</si>
  <si>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</si>
  <si>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</si>
  <si>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</si>
  <si>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</si>
  <si>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</si>
  <si>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</si>
  <si>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</si>
  <si>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</si>
  <si>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</si>
  <si>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</si>
  <si>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</si>
  <si>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</si>
  <si>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</si>
  <si>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</si>
  <si>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</si>
  <si>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</si>
  <si>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 (You only need to submit 1 site)</t>
  </si>
  <si>
    <t xml:space="preserve">All potential source Public, 
Private, Charter Schools </t>
  </si>
  <si>
    <t>NSPF Rtg</t>
  </si>
  <si>
    <t>Grade
Level(s)</t>
  </si>
  <si>
    <t xml:space="preserve">
Enrollment</t>
  </si>
  <si>
    <t>Distance fr school (mi)</t>
  </si>
  <si>
    <t>List all schools from where it is reasonable that students could come from, whether or not they are 1 or 2 star schools</t>
  </si>
  <si>
    <t>The Ethnicity and Special Populations sections have been removed as new schools are approved for areas of demonstrated need.</t>
  </si>
  <si>
    <t>Potential Site 2 (if applicable)</t>
  </si>
  <si>
    <t>If you have narrowed your site to one location you do not need to fill
out this section.</t>
  </si>
  <si>
    <t>Enrollment &amp; Revenue</t>
  </si>
  <si>
    <t>School Year 1 (Fall Start) Teaching Starts</t>
  </si>
  <si>
    <t>SY Ending</t>
  </si>
  <si>
    <t>Totals</t>
  </si>
  <si>
    <t>Be sure to copy year 1 information from the Cashflow Worksheet</t>
  </si>
  <si>
    <t>Number of Students per Classroom (Goal)</t>
  </si>
  <si>
    <t>Number of classrooms calculated (Estimate)</t>
  </si>
  <si>
    <t>Number of classrooms (Planned)</t>
  </si>
  <si>
    <t>Student / Classroom, calculated</t>
  </si>
  <si>
    <t xml:space="preserve">   Target Reenrollment (NRS 388A.273)</t>
  </si>
  <si>
    <t xml:space="preserve">  Estimated # students to newly enroll (above reenrollment)</t>
  </si>
  <si>
    <t>Est'd</t>
  </si>
  <si>
    <t>(Unique)</t>
  </si>
  <si>
    <t>Overall</t>
  </si>
  <si>
    <t>Est'd %</t>
  </si>
  <si>
    <t>Add'l Funding</t>
  </si>
  <si>
    <t>Enro't</t>
  </si>
  <si>
    <t>w/ Dupl'n</t>
  </si>
  <si>
    <t>w/o Dupl'n</t>
  </si>
  <si>
    <t>Local SPED</t>
  </si>
  <si>
    <t>State Special Education (SPED) (placeholder %)</t>
  </si>
  <si>
    <t>English Language Learners (ELL)</t>
  </si>
  <si>
    <t>Gifted &amp; Talented (GATE)</t>
  </si>
  <si>
    <t>At Risk (AR, fka FRL)</t>
  </si>
  <si>
    <t>General support only</t>
  </si>
  <si>
    <t>The above table for extimating allows applicants to overwrite the estimating formulas if they believe they</t>
  </si>
  <si>
    <t>can be more accurate.  Greater accuracy will reduce over/under payments and payment adjustments.</t>
  </si>
  <si>
    <t>County (In Person) / Distance Ed</t>
  </si>
  <si>
    <t>Distance Education</t>
  </si>
  <si>
    <t xml:space="preserve"> &lt;--Select base PCFP payment category here</t>
  </si>
  <si>
    <t>Payment</t>
  </si>
  <si>
    <t>General support only (All students)</t>
  </si>
  <si>
    <t>Enrollment %</t>
  </si>
  <si>
    <t>At Risk (% of students)</t>
  </si>
  <si>
    <t>ELL (% of students)</t>
  </si>
  <si>
    <t>Special Education (% of students) (contact staff if &gt;25% SPED)</t>
  </si>
  <si>
    <t>Special Education (# of students)</t>
  </si>
  <si>
    <t>Total Distributive School Account, including local 
revenue (funding per student)</t>
  </si>
  <si>
    <t>Base year</t>
  </si>
  <si>
    <t>Inflation adjustor (% per year)</t>
  </si>
  <si>
    <t>Special Education (SPED) Weighted Funding</t>
  </si>
  <si>
    <t>Per student (Placeholder $3,000 6.28.21)</t>
  </si>
  <si>
    <t>Title IA</t>
  </si>
  <si>
    <t>Per student FRL Student</t>
  </si>
  <si>
    <t>Per student FRL Student (note additional $3.50 per non FRL student)</t>
  </si>
  <si>
    <t>Per ELL student</t>
  </si>
  <si>
    <t>IDEA (total)</t>
  </si>
  <si>
    <t>Per SPED student</t>
  </si>
  <si>
    <t>Breakfast Program -- Federal Reimbursement</t>
  </si>
  <si>
    <t>yes</t>
  </si>
  <si>
    <t>"yes" or "no"</t>
  </si>
  <si>
    <t>Breakfast Program</t>
  </si>
  <si>
    <t>Per student per day</t>
  </si>
  <si>
    <t>Lunch Program</t>
  </si>
  <si>
    <t>Per student</t>
  </si>
  <si>
    <t>County where school is located</t>
  </si>
  <si>
    <t>Enrollment Detail</t>
  </si>
  <si>
    <t>Core PCFP Funding</t>
  </si>
  <si>
    <t>Initial PCFP Revenue</t>
  </si>
  <si>
    <t>PPR</t>
  </si>
  <si>
    <t>Inflation adjustor</t>
  </si>
  <si>
    <t>Inflation adjusted Revenue</t>
  </si>
  <si>
    <t>PCFP Revenue Net of Sponsor Fee</t>
  </si>
  <si>
    <t>Schools may earn federal revenues in year 1 but not receive it until year 2; plan accordingly</t>
  </si>
  <si>
    <t xml:space="preserve">Federal Lunch Program </t>
  </si>
  <si>
    <t>State SPED Funding</t>
  </si>
  <si>
    <t>SpEd revenue set for prior year SpEd count; Y6 would be received in Y7 (aka Y1 of a renewal)</t>
  </si>
  <si>
    <t>Start-up funds (Federal Replication &amp; Expansion already awarded to operator--not SEA grant)</t>
  </si>
  <si>
    <t>Other start-up grant funds, incl' SEA Grants</t>
  </si>
  <si>
    <t>School level fundraising w/supporting documentation</t>
  </si>
  <si>
    <t>Food Services Revenue</t>
  </si>
  <si>
    <t>Transportation Funding</t>
  </si>
  <si>
    <t>Fundraising / Donations</t>
  </si>
  <si>
    <t>Year 1 Cash Flow Worksheet</t>
  </si>
  <si>
    <t>Fall</t>
  </si>
  <si>
    <t>School Operations Year 1</t>
  </si>
  <si>
    <t xml:space="preserve">Winter, Spring  </t>
  </si>
  <si>
    <t>(This is a year 1 budget.  It is not a pre-opening budget)</t>
  </si>
  <si>
    <t>Sponsorship Fee</t>
  </si>
  <si>
    <t>For those on a quarterly payment plan, the E14 formula of =(B14/4)*0.75 reflects not getting full amount in Q1.  Balance received equally thereafter.</t>
  </si>
  <si>
    <t>(Carry over totals and input to appropriate worksheets)</t>
  </si>
  <si>
    <t>From</t>
  </si>
  <si>
    <t>SY1 Ending</t>
  </si>
  <si>
    <t>Projected</t>
  </si>
  <si>
    <t>Enrol tab</t>
  </si>
  <si>
    <t>Variance</t>
  </si>
  <si>
    <t>July</t>
  </si>
  <si>
    <t>August</t>
  </si>
  <si>
    <t>September</t>
  </si>
  <si>
    <t>October</t>
  </si>
  <si>
    <t>November</t>
  </si>
  <si>
    <t>December</t>
  </si>
  <si>
    <t>January</t>
  </si>
  <si>
    <t>February</t>
  </si>
  <si>
    <t>March</t>
  </si>
  <si>
    <t>April</t>
  </si>
  <si>
    <t xml:space="preserve">May </t>
  </si>
  <si>
    <t>June</t>
  </si>
  <si>
    <t>Comments (out of print range)</t>
  </si>
  <si>
    <t>REVENUES</t>
  </si>
  <si>
    <t>If your enrollment is large enough, NDE may pay you on a monthly</t>
  </si>
  <si>
    <t>basis instead of a quarterly basis.</t>
  </si>
  <si>
    <t>Charter Start up funds</t>
  </si>
  <si>
    <t>Other start-up grant funds</t>
  </si>
  <si>
    <t>Student Fees</t>
  </si>
  <si>
    <t>Private Fundraising (w/Ltr of Support)</t>
  </si>
  <si>
    <t>Fundraising Donations (w/Ltr of Support)</t>
  </si>
  <si>
    <t>Total Revenues</t>
  </si>
  <si>
    <t>Total Revenues Y-T-D</t>
  </si>
  <si>
    <t>% Revenue YTD</t>
  </si>
  <si>
    <t>OPERATING EXPENDITURES &amp; OTHER CASH OUTLAYS</t>
  </si>
  <si>
    <t>Personnel</t>
  </si>
  <si>
    <t>Instructional Supplies</t>
  </si>
  <si>
    <t>Contract Services</t>
  </si>
  <si>
    <t>Food &amp; Transportation Program</t>
  </si>
  <si>
    <t>Athletics</t>
  </si>
  <si>
    <t>General Optg Exp' Inflation</t>
  </si>
  <si>
    <t>Campus (Lease/Mortgage)</t>
  </si>
  <si>
    <t>Security Deposits (Site Lease)</t>
  </si>
  <si>
    <t>Total Expenditures</t>
  </si>
  <si>
    <t>Net Surplus (Deficit)</t>
  </si>
  <si>
    <t>Total Expenses Y-T-D</t>
  </si>
  <si>
    <t>% Budget YTD</t>
  </si>
  <si>
    <t>YTD (Rev &gt; Exp)</t>
  </si>
  <si>
    <t>FINANCING ACTIVITIES</t>
  </si>
  <si>
    <t>Loans/Financing Acquired</t>
  </si>
  <si>
    <t>Loans/Financing Repaid</t>
  </si>
  <si>
    <t>Loan Balance</t>
  </si>
  <si>
    <t>Interest Expense (assumes 24% APR)</t>
  </si>
  <si>
    <t>Net change in cash from financing</t>
  </si>
  <si>
    <t>Projected Cash Balance Statement</t>
  </si>
  <si>
    <t>Net change in Cash from operations</t>
  </si>
  <si>
    <t>Begin Cash Balance(F/B)</t>
  </si>
  <si>
    <t>End Cash Balance (F/B)</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</si>
  <si>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</si>
  <si>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</si>
  <si>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</si>
  <si>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</si>
  <si>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</si>
  <si>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</si>
  <si>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</si>
  <si>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</si>
  <si>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</si>
  <si>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</si>
  <si>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</si>
  <si>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</si>
  <si>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</si>
  <si>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</si>
  <si>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</si>
  <si>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</si>
  <si>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</si>
  <si>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</si>
  <si>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</si>
  <si>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 of available cash at start of month</t>
  </si>
  <si>
    <t>% of available cash at end of month</t>
  </si>
  <si>
    <t>Benefits/Salaries Exp</t>
  </si>
  <si>
    <t># Employees</t>
  </si>
  <si>
    <t>Benefits/Employee</t>
  </si>
  <si>
    <t>Salaries/Employee</t>
  </si>
  <si>
    <t>Staffing Expenses</t>
  </si>
  <si>
    <t>Summary will populate automatically, please begin data entry below in areas with yellow cells.</t>
  </si>
  <si>
    <t>Personnel Summary</t>
  </si>
  <si>
    <t>STAFF FTE COUNT (FT &amp; PT w/Benefits)</t>
  </si>
  <si>
    <t>FTE - Administrators</t>
  </si>
  <si>
    <t>FTE - Office</t>
  </si>
  <si>
    <t>FTE - SPED Teachers</t>
  </si>
  <si>
    <t>FTE - ELL Teachers</t>
  </si>
  <si>
    <t>FTE - Guidance Counselors &amp; Other</t>
  </si>
  <si>
    <t>FTE - Grade Level Teachers</t>
  </si>
  <si>
    <t xml:space="preserve">   FTE - Total </t>
  </si>
  <si>
    <t>Part-Time Staff w/o benefits (FTE count)</t>
  </si>
  <si>
    <t>Total Staff Count w &amp; w/o benefits (FTE count)</t>
  </si>
  <si>
    <t>Avg (no SY 0)</t>
  </si>
  <si>
    <t>Enrollment</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</si>
  <si>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</si>
  <si>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</si>
  <si>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</si>
  <si>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</si>
  <si>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</si>
  <si>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</si>
  <si>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</si>
  <si>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</si>
  <si>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</si>
  <si>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</si>
  <si>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</si>
  <si>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</si>
  <si>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</si>
  <si>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</si>
  <si>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</si>
  <si>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</si>
  <si>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Single Coverage</t>
  </si>
  <si>
    <t>Per year</t>
  </si>
  <si>
    <t>Family Coverage</t>
  </si>
  <si>
    <t xml:space="preserve">School's percentage of coverage </t>
  </si>
  <si>
    <t>Assumed percentage of employees choosing single coverage</t>
    <phoneticPr fontId="7" type="noConversion"/>
  </si>
  <si>
    <t>Weighted avg. cost for medical</t>
  </si>
  <si>
    <t>Per employee per year</t>
  </si>
  <si>
    <t>FICA</t>
  </si>
  <si>
    <t>Percentage of Salary</t>
  </si>
  <si>
    <t>State Retirement (PERS, Required)</t>
  </si>
  <si>
    <t>Life Insurance</t>
  </si>
  <si>
    <t>GASB 75 (replaces GASB 45)</t>
  </si>
  <si>
    <t>Per employee</t>
  </si>
  <si>
    <t>Unemployment Insurance</t>
  </si>
  <si>
    <t>Workers' Compensation</t>
  </si>
  <si>
    <t>Per employee per month</t>
  </si>
  <si>
    <t>Performance Bonus</t>
  </si>
  <si>
    <t>Enter row ~379</t>
  </si>
  <si>
    <t>Inflation (Salaries &amp; related, COLA)</t>
  </si>
  <si>
    <t>Medical benefits costs tied to salaries, rise w/Inflation.</t>
  </si>
  <si>
    <t>Instructional days per year</t>
  </si>
  <si>
    <t>Saturday schools per year</t>
  </si>
  <si>
    <t>Contractors required for Saturday School</t>
  </si>
  <si>
    <t>Price per contractor</t>
  </si>
  <si>
    <t>This area and below are not included in print range above.</t>
  </si>
  <si>
    <t>SYEnding</t>
  </si>
  <si>
    <t>Base Salary</t>
  </si>
  <si>
    <t>Fall of School Year 1 =</t>
  </si>
  <si>
    <t>(Input year or "NA")</t>
  </si>
  <si>
    <t>FTE Count</t>
  </si>
  <si>
    <t>You can overwrite input area formulas with your formula or lump sum amounts.</t>
  </si>
  <si>
    <t>Administrators (Full-time &amp; Part-Time w/benefits)</t>
  </si>
  <si>
    <t>If you do, explain your approach below.</t>
  </si>
  <si>
    <t>Principal</t>
  </si>
  <si>
    <t>Admin 3</t>
  </si>
  <si>
    <t>year</t>
  </si>
  <si>
    <t>Admin 4</t>
  </si>
  <si>
    <t>Admin 5</t>
  </si>
  <si>
    <t xml:space="preserve">Total Administrators </t>
  </si>
  <si>
    <t>Office Staff (Full-time &amp; Part-Time w/benefits)</t>
  </si>
  <si>
    <t>Office Manager</t>
  </si>
  <si>
    <t>Office 3</t>
  </si>
  <si>
    <t>Office 4</t>
  </si>
  <si>
    <t>Total Administrators and Office Staff</t>
  </si>
  <si>
    <t>Special Education (SPED) Teachers (Full-time &amp; Part-Time w/benefits)</t>
  </si>
  <si>
    <t>Special Education Coordinator 3</t>
  </si>
  <si>
    <t>Special Education Coordinator 4</t>
  </si>
  <si>
    <t>Special Education Coordinator 5</t>
  </si>
  <si>
    <t>SPED Specialist Assistant 6</t>
  </si>
  <si>
    <t>SPED Specialist Assistant 7</t>
  </si>
  <si>
    <t>Total Special EducationTeachers</t>
  </si>
  <si>
    <t>English Language Learner (ELL) Teachers (Full-time &amp; Part-Time w/benefits)</t>
  </si>
  <si>
    <t>ELL Teacher/Reading Specialist</t>
  </si>
  <si>
    <t>Total ELL Teachers</t>
  </si>
  <si>
    <t>Guidance Counselor &amp; Other (Full-time &amp; Part-Time w/benefits)</t>
  </si>
  <si>
    <t>Guidance Counselor</t>
  </si>
  <si>
    <t>Total Guidance Counselors/Other</t>
  </si>
  <si>
    <t xml:space="preserve">Total Special Education/ELL Teachers/Guidance Counselors </t>
  </si>
  <si>
    <t>Total Faculty before Teachers</t>
  </si>
  <si>
    <t>Grade Level (Core) Teachers (Full-time &amp; Part-Time w/benefits)</t>
  </si>
  <si>
    <t>Teacher</t>
  </si>
  <si>
    <t>Grade Level</t>
  </si>
  <si>
    <t>SYE</t>
  </si>
  <si>
    <t>Subject</t>
  </si>
  <si>
    <t xml:space="preserve">You may enter more than one person in any cell if the salaries are the same--or if you're using an average salary (and they're starting the same year). </t>
  </si>
  <si>
    <t>Grade Level Teacher</t>
  </si>
  <si>
    <t>na</t>
  </si>
  <si>
    <t>General</t>
  </si>
  <si>
    <t>Kindergarten Teacher</t>
  </si>
  <si>
    <t>1st Grade Teacher</t>
  </si>
  <si>
    <t>2nd Grade Teacher</t>
  </si>
  <si>
    <t>3rd Grade Teacher</t>
  </si>
  <si>
    <t>4th Grade Teacher</t>
  </si>
  <si>
    <t>5th Grade Teacher</t>
  </si>
  <si>
    <t>6th Grade Teacher</t>
  </si>
  <si>
    <t>7th Grade Teacher</t>
  </si>
  <si>
    <t>8th Grade Teacher</t>
  </si>
  <si>
    <t>STEAM Teacher</t>
  </si>
  <si>
    <t>Art Teacher</t>
  </si>
  <si>
    <t>Total Grade Level Teachers (Count)</t>
  </si>
  <si>
    <t>Total Teachers (SPED, ELL, Grade + Counselors)</t>
  </si>
  <si>
    <t>SALARIES</t>
  </si>
  <si>
    <t xml:space="preserve">   Subtotal</t>
  </si>
  <si>
    <t xml:space="preserve">   Subtotal Office Staff</t>
  </si>
  <si>
    <t>Total Grade Level Teacher Salaries</t>
  </si>
  <si>
    <t>Total Medical Benefits</t>
  </si>
  <si>
    <t>Total FICA</t>
  </si>
  <si>
    <t>State Retirement (PERS-Required)</t>
  </si>
  <si>
    <t>TOTAL STATE RETIREMENT COSTS</t>
  </si>
  <si>
    <t>TOTAL LIFE INSURANCE</t>
  </si>
  <si>
    <t>GASB 45</t>
  </si>
  <si>
    <t>Total GASB 45</t>
  </si>
  <si>
    <t>Unuemployment Insurance</t>
  </si>
  <si>
    <t>TOTAL UNEMPLOYMENT INSURANCE</t>
  </si>
  <si>
    <t>Workers' Compensation Insurance</t>
  </si>
  <si>
    <t>Total Workers' Comp</t>
  </si>
  <si>
    <t>TOTAL BENEFITS</t>
  </si>
  <si>
    <t xml:space="preserve">     % of Salaries</t>
  </si>
  <si>
    <t>Part-Time Employees (w/o benefits)</t>
  </si>
  <si>
    <t>Input Part-Time Employee(s) (PTE)</t>
  </si>
  <si>
    <t xml:space="preserve">     Count of PTE (FTE equivalent)</t>
  </si>
  <si>
    <t xml:space="preserve">     Annualized salary</t>
  </si>
  <si>
    <t>Input part-time employee</t>
  </si>
  <si>
    <t xml:space="preserve">     Count of PTE (FTE equivalence)</t>
  </si>
  <si>
    <t>PART TIME WAGES</t>
  </si>
  <si>
    <t>Total Part-Time Employees (w/o benefits)(FTE Count)</t>
  </si>
  <si>
    <t>PAYROLL SERVICES</t>
  </si>
  <si>
    <t>PERSONNEL (W/PAYROLL)</t>
  </si>
  <si>
    <t xml:space="preserve">General Operating &amp; Transp' Expenses </t>
  </si>
  <si>
    <t>SY 0/Incubation</t>
  </si>
  <si>
    <t>Fall, Winter</t>
  </si>
  <si>
    <t>Be sure year 1 information below matches with your Year 1 Cashflow Worksheet totals</t>
  </si>
  <si>
    <t>Student / Classroom</t>
  </si>
  <si>
    <t xml:space="preserve">  Estimated # students to newly enroll</t>
  </si>
  <si>
    <t>FRL (% of students)</t>
  </si>
  <si>
    <t xml:space="preserve">   FRL (# of students)</t>
  </si>
  <si>
    <t xml:space="preserve">   ELL (# of students)</t>
  </si>
  <si>
    <t>Total Revenue / Pupil</t>
  </si>
  <si>
    <t>Total GenOp</t>
  </si>
  <si>
    <t>GenOp per Student</t>
  </si>
  <si>
    <t>Net Surplus after Gen Op</t>
  </si>
  <si>
    <t>Net Surplus after Gen Op per Student</t>
  </si>
  <si>
    <t>STAFF FTE COUNT</t>
  </si>
  <si>
    <t>GENERAL OPERATING EXPENSES</t>
  </si>
  <si>
    <t>Instruction</t>
  </si>
  <si>
    <t>Assumptions</t>
  </si>
  <si>
    <t>You may overide these formulas</t>
  </si>
  <si>
    <t>Professional development</t>
  </si>
  <si>
    <t>Per FTE</t>
  </si>
  <si>
    <t>Staff recruitment</t>
  </si>
  <si>
    <t>Per Year</t>
    <phoneticPr fontId="7" type="noConversion"/>
  </si>
  <si>
    <t>Special Ed/Psychology Consultant</t>
  </si>
  <si>
    <t>Annual Expense</t>
  </si>
  <si>
    <t>EMO / CMO Fee See Tab</t>
  </si>
  <si>
    <t>Textbooks - initial costs</t>
  </si>
  <si>
    <t>Textbooks - repurchase of new books</t>
  </si>
  <si>
    <t>Number of years use</t>
  </si>
  <si>
    <t>Library books per new student</t>
  </si>
  <si>
    <t>Per New Student</t>
  </si>
  <si>
    <t>Food services</t>
  </si>
  <si>
    <t>Music program</t>
  </si>
  <si>
    <t>Per Student</t>
  </si>
  <si>
    <t>Management fees (Non EMO; Non CMO)</t>
  </si>
  <si>
    <t>Licensing fees</t>
  </si>
  <si>
    <t>Office Supplies</t>
  </si>
  <si>
    <t>Assessment costs</t>
  </si>
  <si>
    <t>Supplies for students</t>
  </si>
  <si>
    <t>Yearbook</t>
  </si>
  <si>
    <t>School store</t>
  </si>
  <si>
    <t>Contracted SPED</t>
  </si>
  <si>
    <t>Instuctional supplies - Teachers (just teaching faculty)</t>
  </si>
  <si>
    <t>Per Instructional FTE</t>
  </si>
  <si>
    <t>General office supplies</t>
  </si>
  <si>
    <t>Per month</t>
  </si>
  <si>
    <t>School uniforms - new students</t>
  </si>
  <si>
    <t>Per new student</t>
  </si>
  <si>
    <t>School uniforms - returning students (exclude new students)</t>
  </si>
  <si>
    <t>Per returning student (exclude new students)</t>
  </si>
  <si>
    <t>General building decorum</t>
  </si>
  <si>
    <t>Annual Exp</t>
  </si>
  <si>
    <t>Health supplies</t>
  </si>
  <si>
    <t>Per student per year</t>
  </si>
  <si>
    <t>Bank fees</t>
  </si>
  <si>
    <t>Athletic expenditures</t>
  </si>
  <si>
    <t>Postage and shipping</t>
  </si>
  <si>
    <t>Gifts &amp; awards - students</t>
  </si>
  <si>
    <t>Gifts &amp; awards - faculty and staff</t>
  </si>
  <si>
    <t>Dues and memberships</t>
  </si>
  <si>
    <t>Travel and Meetings</t>
  </si>
  <si>
    <t>Background checks</t>
  </si>
  <si>
    <t>Per new FTE</t>
  </si>
  <si>
    <t>Accounting services</t>
  </si>
  <si>
    <t xml:space="preserve">Field trips </t>
  </si>
  <si>
    <t>Per grade level</t>
  </si>
  <si>
    <t>Field trips - out of state</t>
  </si>
  <si>
    <t>Parent &amp; staff meetings</t>
  </si>
  <si>
    <t>Saturday School (contractors for instruction)</t>
  </si>
  <si>
    <t>no</t>
  </si>
  <si>
    <t>Input "yes" or "no"</t>
  </si>
  <si>
    <t>Total Instructional Supplies</t>
  </si>
  <si>
    <t>Contracted Services</t>
  </si>
  <si>
    <t>Annual audit</t>
  </si>
  <si>
    <t>Legal funds</t>
  </si>
  <si>
    <t>Total Contract Services</t>
  </si>
  <si>
    <t>Food Program</t>
  </si>
  <si>
    <t>School Pays?</t>
  </si>
  <si>
    <t>Breakfast</t>
  </si>
  <si>
    <t>Lunch program</t>
  </si>
  <si>
    <t>Snacks</t>
  </si>
  <si>
    <t>Saturday food program</t>
  </si>
  <si>
    <t>Total Food Costs</t>
  </si>
  <si>
    <t>TRANSPORTATION REVENUES/FUNDING</t>
  </si>
  <si>
    <t>Transportation Revenues/Funding (if applicable)</t>
  </si>
  <si>
    <t>TRANSPORTATION COSTS</t>
  </si>
  <si>
    <t>Percentage of students transported</t>
  </si>
  <si>
    <t>Students per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</si>
  <si>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</si>
  <si>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</si>
  <si>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</si>
  <si>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</si>
  <si>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</si>
  <si>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</si>
  <si>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</si>
  <si>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</si>
  <si>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</si>
  <si>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</si>
  <si>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</si>
  <si>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</si>
  <si>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students participating</t>
  </si>
  <si>
    <t>Number of buses required</t>
  </si>
  <si>
    <t>Bus purchasing costs</t>
  </si>
  <si>
    <t>Fuel costs</t>
  </si>
  <si>
    <t>Maintenance costs</t>
  </si>
  <si>
    <t>TOTAL TRANSPORTATION COSTS</t>
  </si>
  <si>
    <t>NET TRANSPORTATION CASHFLOW</t>
  </si>
  <si>
    <t>Costs stated as positive number to be consistent with other costs shown; credit if T' revenues &gt; T' costs</t>
  </si>
  <si>
    <t>Athletic Costs detail (subtotal posted above) (not in print range)</t>
  </si>
  <si>
    <t>Football</t>
  </si>
  <si>
    <t>Boy's basketball</t>
  </si>
  <si>
    <t>Girl's cheerleading</t>
  </si>
  <si>
    <t>Boy's soccer</t>
  </si>
  <si>
    <t>Girl's soccer</t>
  </si>
  <si>
    <t>Boy's track and field</t>
  </si>
  <si>
    <t>Girl's track and field</t>
  </si>
  <si>
    <t>Boy's lacrosse</t>
  </si>
  <si>
    <t>Girl's lacrosse</t>
  </si>
  <si>
    <t>TOTAL ATHLETIC COSTS</t>
  </si>
  <si>
    <t>Inflation (compounded/year)</t>
  </si>
  <si>
    <t>TOTAL GENERAL OPERATING EXPENSES</t>
  </si>
  <si>
    <t>Potential location(s) under consideration: (Address or cross street, City, County)</t>
  </si>
  <si>
    <t>FACILITIES</t>
  </si>
  <si>
    <t>SELECT "Purchase" or "Lease"</t>
  </si>
  <si>
    <t>Lease</t>
  </si>
  <si>
    <t>LEASE OPTION</t>
  </si>
  <si>
    <t>SF/pupil</t>
  </si>
  <si>
    <t>Lease area (conditioned space)(sq ft)</t>
  </si>
  <si>
    <t>Lease rate w/o escalator/sf/mo (Contract--before waivers/deferrals)</t>
  </si>
  <si>
    <t>Lease rate no escalator/sf/yr (Contract--before waivers/deferrals)</t>
  </si>
  <si>
    <t>Lease rate w/o escalator/sf/mo (after waivers)</t>
  </si>
  <si>
    <t>Lease rate no escalator/sf/yr (after waivers)</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</si>
  <si>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</si>
  <si>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</si>
  <si>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</si>
  <si>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</si>
  <si>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</si>
  <si>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</si>
  <si>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</si>
  <si>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</si>
  <si>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</si>
  <si>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</si>
  <si>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</si>
  <si>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</si>
  <si>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</si>
  <si>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</si>
  <si>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</si>
  <si>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</si>
  <si>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</si>
  <si>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</si>
  <si>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</si>
  <si>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Initial Capital Outlay for Occupancy</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</si>
  <si>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</si>
  <si>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</si>
  <si>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</si>
  <si>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</si>
  <si>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</si>
  <si>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</si>
  <si>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</si>
  <si>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</si>
  <si>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If Lease, then facility type:</t>
  </si>
  <si>
    <t>Retail/shopping, office, industrial, school, church, other__________</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</si>
  <si>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</si>
  <si>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</si>
  <si>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</si>
  <si>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</si>
  <si>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</si>
  <si>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</si>
  <si>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</si>
  <si>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</si>
  <si>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</si>
  <si>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</si>
  <si>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</si>
  <si>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</si>
  <si>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</si>
  <si>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</si>
  <si>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</si>
  <si>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</si>
  <si>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</si>
  <si>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</si>
  <si>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</si>
  <si>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</si>
  <si>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</si>
  <si>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</si>
  <si>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</si>
  <si>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</si>
  <si>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</si>
  <si>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</si>
  <si>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</si>
  <si>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1</t>
  </si>
  <si>
    <t>SY 2</t>
  </si>
  <si>
    <t>SY 3</t>
  </si>
  <si>
    <t>SY 4</t>
  </si>
  <si>
    <t>SY 5</t>
  </si>
  <si>
    <t>SY 6</t>
  </si>
  <si>
    <t>Square Feet</t>
  </si>
  <si>
    <t>Furnishings, Fixtures, Equipment 
&amp; Technology (FFE&amp;T)</t>
  </si>
  <si>
    <t>Comments (Applicant/SPCSA) (Not in print range)(Explain formula overrides)</t>
  </si>
  <si>
    <t>Student enrollment</t>
  </si>
  <si>
    <t>FTE Total (PT not incl)</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</si>
  <si>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</si>
  <si>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</si>
  <si>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</si>
  <si>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</si>
  <si>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</si>
  <si>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</si>
  <si>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</si>
  <si>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</si>
  <si>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</si>
  <si>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</si>
  <si>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</si>
  <si>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</si>
  <si>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</si>
  <si>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</si>
  <si>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</si>
  <si>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</si>
  <si>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</si>
  <si>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Technology Support Services</t>
  </si>
  <si>
    <t>Internet and phone monthly service</t>
  </si>
  <si>
    <t>Other Equipment (security system, 
Hardware costs, setup fees)</t>
  </si>
  <si>
    <t>Other Equipment replacement</t>
  </si>
  <si>
    <t>Expected years</t>
  </si>
  <si>
    <t>Monthly equipment cost</t>
  </si>
  <si>
    <t>Computer Hardware (Other)</t>
  </si>
  <si>
    <t>Computer Software</t>
  </si>
  <si>
    <t>Faculty furniture</t>
  </si>
  <si>
    <t>Student furniture</t>
  </si>
  <si>
    <t>TOTAL FFE &amp; T COSTS 
(book expense, e.g., full accrual)</t>
  </si>
  <si>
    <t>Comments (Row #, you can include calculations in this workspace area; you can also insert Comments in cells above)</t>
  </si>
  <si>
    <t>Total Enrollment</t>
  </si>
  <si>
    <t>Rev per student</t>
  </si>
  <si>
    <t>Total FFE&amp;T</t>
  </si>
  <si>
    <t>FFE&amp;T per Student</t>
  </si>
  <si>
    <t>Net Surplus after FFE&amp;T</t>
  </si>
  <si>
    <t>Net Surplus after FFE&amp;T per Student</t>
  </si>
  <si>
    <t>Insurance Coverage</t>
  </si>
  <si>
    <t>Check with your risk manager, insurance agent, or attorney as to what types of insurance you may need.</t>
  </si>
  <si>
    <t xml:space="preserve">Pre-Opening </t>
  </si>
  <si>
    <t>(You may overwrite the formulas below)</t>
  </si>
  <si>
    <t>Insurance types</t>
  </si>
  <si>
    <t>Minimum</t>
  </si>
  <si>
    <t>Annual</t>
  </si>
  <si>
    <t>(Select appropriate coverages)</t>
  </si>
  <si>
    <t>Coverage</t>
  </si>
  <si>
    <t>Cost</t>
  </si>
  <si>
    <t>6 yr+0</t>
  </si>
  <si>
    <t>NAC 388A.190</t>
  </si>
  <si>
    <t>Indicate below if required coverages are included, e.g., "in (c)"</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</si>
  <si>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</si>
  <si>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</si>
  <si>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</si>
  <si>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</si>
  <si>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</si>
  <si>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</si>
  <si>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</si>
  <si>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</si>
  <si>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</si>
  <si>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</si>
  <si>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</si>
  <si>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</si>
  <si>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</si>
  <si>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Other (Check applicable requirements)</t>
  </si>
  <si>
    <t>Abuse &amp; Molestation</t>
  </si>
  <si>
    <t>Accident Insurance - For volunteers or students due to accident at school.</t>
  </si>
  <si>
    <t>Commercial Property/Campus Liability</t>
  </si>
  <si>
    <t>Commercial Property/Campus Liability (_________ type)</t>
  </si>
  <si>
    <t>Cyber Liability</t>
  </si>
  <si>
    <t>Employee Dishonesty/Crime</t>
  </si>
  <si>
    <t>Employement Practices Liability</t>
  </si>
  <si>
    <t>Errors and Omissions</t>
  </si>
  <si>
    <t>Excess/Umbrella Liability</t>
  </si>
  <si>
    <t>Personal and Advertising Injury</t>
  </si>
  <si>
    <t>Products/Completed Operations Aggregate</t>
  </si>
  <si>
    <t>Special Education Liability</t>
  </si>
  <si>
    <t>Student Accident Liability per accident</t>
  </si>
  <si>
    <t>Total Insurance Expense b4 Inflation</t>
  </si>
  <si>
    <t>Inflation</t>
  </si>
  <si>
    <t>The above list may serve as a prompt of insurance coverages and insurance packages that need to be considered and acquired.</t>
  </si>
  <si>
    <t>Remove lines which are not applicable to your school.  Add desriptions and amounts where needed.</t>
  </si>
  <si>
    <t>Consult with your insurance agent regarding the coverages your school, faculty, leadership and board may need or want.</t>
  </si>
  <si>
    <t>Marketing &amp; Recruiting 
Plan/Implementation</t>
  </si>
  <si>
    <t>Charter Contract Operations Term</t>
  </si>
  <si>
    <t>SY 0</t>
  </si>
  <si>
    <t>STUDENT RECRUITMENT AND MARKETING</t>
  </si>
  <si>
    <t>Marketing/Recruitment Method</t>
  </si>
  <si>
    <t>Schedule estimate</t>
  </si>
  <si>
    <t>Total Cost</t>
  </si>
  <si>
    <t>Incubation Year Expenses</t>
  </si>
  <si>
    <t>Nevada State Public Charter School Authority</t>
  </si>
  <si>
    <t>Other (one time) Pre-Approval &amp; Pre-Opening</t>
  </si>
  <si>
    <t>Sample items below (erase at will)</t>
  </si>
  <si>
    <t>Application Costs Consultants:</t>
  </si>
  <si>
    <t>TOTAL USES THROUGH PRE-OPENING</t>
  </si>
  <si>
    <t>Use this tab only for unique pre-opening plan/budget costs. Otherwise, use another expense sheet.</t>
  </si>
  <si>
    <t>EMO-CMO Budget Worksheet</t>
  </si>
  <si>
    <t xml:space="preserve">Consider a cost plus model of hiring specific services you may need, such as accounting/payroll.  But also consider </t>
  </si>
  <si>
    <t>the value of full service providers.  There can be greater savings from exercising a service cost plus a margin for</t>
  </si>
  <si>
    <t>services providers specializing in specific areas.  There can be more peace of mind from "one-stop" providers.  Some</t>
  </si>
  <si>
    <t>schools may start with one model and shift to another.  Make sure your contracts provide the flexibility you deserve.</t>
  </si>
  <si>
    <t>Education Management Organization (EMO)</t>
  </si>
  <si>
    <t>Charter Management Organization (CMO)</t>
  </si>
  <si>
    <t>School Year 1 (Fall Start)</t>
  </si>
  <si>
    <t>Total Expenses (w/o EMO/CMO Fees)</t>
  </si>
  <si>
    <t>Do you plan to contract with a EMO/CMO during this term?</t>
  </si>
  <si>
    <t>Y/N?</t>
  </si>
  <si>
    <t>EMO/CMO Services/Fee basis/Type (Check largest applicable)</t>
  </si>
  <si>
    <t xml:space="preserve">    Per Pupil</t>
  </si>
  <si>
    <t xml:space="preserve">    Total Federal, State &amp; Local Revenue</t>
  </si>
  <si>
    <t>Estimated EMO, CMO, and/or BOSP Fees</t>
  </si>
  <si>
    <t>OR</t>
  </si>
  <si>
    <t>% fee per state &amp; local funding per year (Years 1 &amp; 2)</t>
  </si>
  <si>
    <t>% fee per "…" (Years 3-6)</t>
  </si>
  <si>
    <t>% fee per state, local, federal, donor funding per year (Years 1 &amp; 2)</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</si>
  <si>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</si>
  <si>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</si>
  <si>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</si>
  <si>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</si>
  <si>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ESP (Education Services Provider) is not used here to reduce possible confusion with an EMO.</t>
  </si>
  <si>
    <t>EMO or CMO</t>
  </si>
  <si>
    <t>BOSP</t>
  </si>
  <si>
    <t>Incl'd</t>
  </si>
  <si>
    <t>Perform</t>
  </si>
  <si>
    <t>in fee?</t>
  </si>
  <si>
    <t>Service?</t>
  </si>
  <si>
    <t>Pass Thru?</t>
  </si>
  <si>
    <t>EMO, CMO, BOSP services to charter school</t>
  </si>
  <si>
    <t>Y/N</t>
  </si>
  <si>
    <t>"Back office" functions (Accounting, A/P, A/R, Payroll, Inventory, financial, compliance, reporting)</t>
  </si>
  <si>
    <t>Accounting</t>
  </si>
  <si>
    <t xml:space="preserve">Bond Financing, </t>
  </si>
  <si>
    <t xml:space="preserve">Capital Loans, </t>
  </si>
  <si>
    <t xml:space="preserve">Cash Advances For Startup Funds, </t>
  </si>
  <si>
    <t>Computer/Other Leasing</t>
  </si>
  <si>
    <t>Compliance Mgt</t>
  </si>
  <si>
    <t>Contract Mgt</t>
  </si>
  <si>
    <t>Curriculum</t>
  </si>
  <si>
    <t xml:space="preserve">Development of Curriculum and Instruction, </t>
  </si>
  <si>
    <t xml:space="preserve">Establishment of College Guidance &amp; Counseling Program. </t>
  </si>
  <si>
    <t xml:space="preserve">Facility Leasing, </t>
  </si>
  <si>
    <t>Finance</t>
  </si>
  <si>
    <t>Food Servicing</t>
  </si>
  <si>
    <t xml:space="preserve">Furnishings, Fixtures, </t>
  </si>
  <si>
    <t>Safety</t>
  </si>
  <si>
    <t>HR Management</t>
  </si>
  <si>
    <t>Internal Control Process Development</t>
  </si>
  <si>
    <t>Manage or Operate aspects of a charter school</t>
  </si>
  <si>
    <t xml:space="preserve">Professional Development and </t>
  </si>
  <si>
    <t>Purchasing</t>
  </si>
  <si>
    <t xml:space="preserve">Supervision of building Design &amp; Remodeling, </t>
  </si>
  <si>
    <t xml:space="preserve">Technology Contracting, </t>
  </si>
  <si>
    <t xml:space="preserve">Textbooks, Other Transactions, </t>
  </si>
  <si>
    <t>Other (Describe)</t>
  </si>
  <si>
    <t>Total EMO-CMO-ESP Planned Expenses</t>
  </si>
  <si>
    <t>Does the EMO provide the service or do they help you choose the service which you will pay for--separate</t>
  </si>
  <si>
    <t>from the EMO fee?</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</si>
  <si>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</si>
  <si>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</si>
  <si>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</si>
  <si>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</si>
  <si>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</si>
  <si>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</si>
  <si>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</si>
  <si>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</si>
  <si>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</si>
  <si>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</si>
  <si>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</si>
  <si>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</si>
  <si>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</si>
  <si>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</si>
  <si>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</si>
  <si>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</si>
  <si>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</si>
  <si>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</si>
  <si>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</si>
  <si>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</si>
  <si>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</si>
  <si>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</si>
  <si>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</si>
  <si>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</si>
  <si>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</si>
  <si>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</si>
  <si>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</si>
  <si>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</si>
  <si>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</si>
  <si>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</si>
  <si>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</si>
  <si>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</si>
  <si>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</si>
  <si>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</si>
  <si>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</si>
  <si>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</si>
  <si>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</si>
  <si>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</si>
  <si>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</si>
  <si>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</si>
  <si>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</si>
  <si>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</si>
  <si>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</si>
  <si>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</si>
  <si>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</si>
  <si>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</si>
  <si>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</si>
  <si>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</si>
  <si>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</si>
  <si>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</si>
  <si>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</si>
  <si>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</si>
  <si>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</si>
  <si>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</si>
  <si>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</si>
  <si>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</si>
  <si>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</si>
  <si>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</si>
  <si>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</si>
  <si>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</si>
  <si>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</si>
  <si>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</si>
  <si>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</si>
  <si>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</si>
  <si>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</si>
  <si>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</si>
  <si>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</si>
  <si>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</si>
  <si>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</si>
  <si>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</si>
  <si>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</si>
  <si>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</si>
  <si>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</si>
  <si>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</si>
  <si>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</si>
  <si>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</si>
  <si>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</si>
  <si>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</si>
  <si>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</si>
  <si>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</si>
  <si>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</si>
  <si>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</si>
  <si>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</si>
  <si>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</si>
  <si>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</si>
  <si>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'Thu 6/25/2020 em from Kristin dietz</t>
  </si>
  <si>
    <t>Jun 25 image vs Jul 13 image</t>
  </si>
  <si>
    <t>x</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</si>
  <si>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</si>
  <si>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</si>
  <si>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</si>
  <si>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</si>
  <si>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</si>
  <si>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</si>
  <si>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</si>
  <si>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</si>
  <si>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</si>
  <si>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</si>
  <si>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</si>
  <si>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</si>
  <si>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</si>
  <si>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</si>
  <si>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</si>
  <si>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</si>
  <si>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</si>
  <si>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</si>
  <si>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</si>
  <si>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</si>
  <si>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</si>
  <si>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</si>
  <si>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</si>
  <si>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</si>
  <si>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</si>
  <si>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</si>
  <si>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</si>
  <si>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</si>
  <si>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</si>
  <si>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</si>
  <si>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</si>
  <si>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</si>
  <si>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</si>
  <si>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</si>
  <si>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</si>
  <si>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</si>
  <si>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</si>
  <si>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</si>
  <si>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</si>
  <si>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</si>
  <si>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</si>
  <si>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</si>
  <si>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</si>
  <si>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</si>
  <si>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</si>
  <si>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</si>
  <si>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</si>
  <si>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</si>
  <si>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</si>
  <si>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</si>
  <si>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</si>
  <si>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</si>
  <si>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</si>
  <si>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</si>
  <si>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</si>
  <si>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</si>
  <si>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</si>
  <si>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</si>
  <si>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</si>
  <si>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</si>
  <si>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</si>
  <si>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</si>
  <si>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</si>
  <si>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</si>
  <si>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</si>
  <si>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</si>
  <si>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</si>
  <si>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</si>
  <si>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</si>
  <si>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</si>
  <si>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</si>
  <si>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</si>
  <si>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</si>
  <si>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</si>
  <si>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Outside Revenue rates may change throughout the year as they are recalculated based on available funding.  Plan accordingly.</t>
  </si>
  <si>
    <t>For the SYE 22 &amp; SYE 23 Biennium</t>
  </si>
  <si>
    <t>We've seen differences in the 0% to 11% range--depending on the district.  So, your final rates may vary.</t>
  </si>
  <si>
    <t>PCFP Virtual</t>
  </si>
  <si>
    <t>PPRev</t>
  </si>
  <si>
    <t>SYE-20 Rates</t>
  </si>
  <si>
    <t xml:space="preserve">Total </t>
  </si>
  <si>
    <t>Period Pmt Amounts</t>
  </si>
  <si>
    <t>Index</t>
  </si>
  <si>
    <t>NDE Adjustment Factor</t>
  </si>
  <si>
    <t>SYE 22</t>
  </si>
  <si>
    <t>SYE 23</t>
  </si>
  <si>
    <t>District-County</t>
  </si>
  <si>
    <t>DSA</t>
  </si>
  <si>
    <t>Outside Revenue</t>
  </si>
  <si>
    <t>Planned
Enrollment</t>
  </si>
  <si>
    <t>Payment 
Frequency</t>
  </si>
  <si>
    <t>Qrtr</t>
  </si>
  <si>
    <t>Mon</t>
  </si>
  <si>
    <t>OSRev/Tot</t>
  </si>
  <si>
    <t>Rev/CCSD</t>
  </si>
  <si>
    <t>Total
Virtual</t>
  </si>
  <si>
    <t>Inf' Total
(w/o redux)</t>
  </si>
  <si>
    <t>Total/yr</t>
  </si>
  <si>
    <t>Distance Ed SB 458.5.5 &amp; 6.5</t>
  </si>
  <si>
    <t>Carson City</t>
  </si>
  <si>
    <t>Distance Ed SB 458.5.5...w/Adj</t>
  </si>
  <si>
    <t>Churchill</t>
  </si>
  <si>
    <t>In person</t>
  </si>
  <si>
    <t>Final adjusted base PPR SYE 22, SB 458.5-6</t>
  </si>
  <si>
    <t>Charter</t>
  </si>
  <si>
    <t xml:space="preserve">Carson City </t>
  </si>
  <si>
    <t xml:space="preserve">Churchill </t>
  </si>
  <si>
    <t xml:space="preserve">Clark </t>
  </si>
  <si>
    <t xml:space="preserve">Elko </t>
  </si>
  <si>
    <t xml:space="preserve">Washoe </t>
  </si>
  <si>
    <t xml:space="preserve">White Pine </t>
  </si>
  <si>
    <t>Clark</t>
  </si>
  <si>
    <t>Douglas</t>
  </si>
  <si>
    <t>Elko</t>
  </si>
  <si>
    <t>Esmeralda</t>
  </si>
  <si>
    <t>Eureka</t>
  </si>
  <si>
    <t>Humboldt</t>
  </si>
  <si>
    <t>Lander</t>
  </si>
  <si>
    <t>Lincoln</t>
  </si>
  <si>
    <t>Lyon</t>
  </si>
  <si>
    <t>Mineral</t>
  </si>
  <si>
    <t>Special Populations</t>
  </si>
  <si>
    <t>Nye</t>
  </si>
  <si>
    <t>Additional weighted PPR, SB 458.5-7</t>
  </si>
  <si>
    <t>Pershing</t>
  </si>
  <si>
    <t>SpEd (TEST INPUT)</t>
  </si>
  <si>
    <t>Storey</t>
  </si>
  <si>
    <t>English learners</t>
  </si>
  <si>
    <t>Washoe</t>
  </si>
  <si>
    <t>At-risk pupils (FRL)</t>
  </si>
  <si>
    <t>White Pine</t>
  </si>
  <si>
    <t>Gifted and talented</t>
  </si>
  <si>
    <t xml:space="preserve">   Multi-District weighted average</t>
  </si>
  <si>
    <t>Enrollments</t>
  </si>
  <si>
    <t>In Person</t>
  </si>
  <si>
    <t>Ask RF &amp; MM if schools will be allowed to do a hybrid; I've heard of at least one app' and one school that has discussed this.</t>
  </si>
  <si>
    <t>Distance Ed'</t>
  </si>
  <si>
    <t>The school discussing this is saying their parents want the option because of Covid.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</si>
  <si>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</si>
  <si>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</si>
  <si>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</si>
  <si>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</si>
  <si>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</si>
  <si>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</si>
  <si>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</si>
  <si>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</si>
  <si>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</si>
  <si>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</si>
  <si>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</si>
  <si>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</si>
  <si>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</si>
  <si>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</si>
  <si>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</si>
  <si>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</si>
  <si>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</si>
  <si>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</si>
  <si>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</si>
  <si>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</si>
  <si>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</si>
  <si>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</si>
  <si>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</si>
  <si>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</si>
  <si>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</si>
  <si>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</si>
  <si>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</si>
  <si>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</si>
  <si>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</si>
  <si>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</si>
  <si>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</si>
  <si>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</si>
  <si>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</si>
  <si>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</si>
  <si>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</si>
  <si>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</si>
  <si>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</si>
  <si>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</si>
  <si>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</si>
  <si>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</si>
  <si>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</si>
  <si>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Adjusted w/NDE Adj' Factor</t>
  </si>
  <si>
    <t>Full Adj Base</t>
  </si>
  <si>
    <t>Area</t>
  </si>
  <si>
    <t>Funding</t>
  </si>
  <si>
    <t>IN PERSON</t>
  </si>
  <si>
    <t>"y/n"</t>
  </si>
  <si>
    <t>Additional Funding</t>
  </si>
  <si>
    <t>y</t>
  </si>
  <si>
    <t>(All Counties)</t>
  </si>
  <si>
    <t>School Year Ending</t>
  </si>
  <si>
    <t>Full Base</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</si>
  <si>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</si>
  <si>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</si>
  <si>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</si>
  <si>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</si>
  <si>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</si>
  <si>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</si>
  <si>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</si>
  <si>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</si>
  <si>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</si>
  <si>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</si>
  <si>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</si>
  <si>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</si>
  <si>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</si>
  <si>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</si>
  <si>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</si>
  <si>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</si>
  <si>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District</t>
  </si>
  <si>
    <t xml:space="preserve">Douglas </t>
  </si>
  <si>
    <t xml:space="preserve">Esmeralda </t>
  </si>
  <si>
    <t xml:space="preserve">Eureka </t>
  </si>
  <si>
    <t>Distance Ed</t>
  </si>
  <si>
    <t xml:space="preserve">Humboldt </t>
  </si>
  <si>
    <t xml:space="preserve">Lander </t>
  </si>
  <si>
    <t xml:space="preserve">Lincoln </t>
  </si>
  <si>
    <t>Awtg</t>
  </si>
  <si>
    <t xml:space="preserve">Lyon </t>
  </si>
  <si>
    <t xml:space="preserve">Mineral </t>
  </si>
  <si>
    <t>At-risk pupils</t>
  </si>
  <si>
    <t>(fka FRL)</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</si>
  <si>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</si>
  <si>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</si>
  <si>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</si>
  <si>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</si>
  <si>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</si>
  <si>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</si>
  <si>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</si>
  <si>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</si>
  <si>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There is discussion that virtual schools will only receive a base fixed amount per pupil regardless of the school district the pupil lives in.</t>
  </si>
  <si>
    <t xml:space="preserve">Enrollment levels at which NDE may switch payments from quarterly to monthly. </t>
  </si>
  <si>
    <t>PP Rev</t>
  </si>
  <si>
    <t>Switchpoint
Enrollments</t>
  </si>
  <si>
    <t>When enrollment levels exceed the above levels NDE switches the school to monthly payments.</t>
  </si>
  <si>
    <t>% Chg YOY</t>
  </si>
  <si>
    <t>PUPIL CENTERED FUNDING PLAN SYE 22 &amp; SYE 23</t>
  </si>
  <si>
    <t>Final adjusted base PPR, SB 458.5-6</t>
  </si>
  <si>
    <t>Final adjusted base PPR, SB 458.5-6--w/NDE Adj Factor</t>
  </si>
  <si>
    <t>Placeholders for testing @ 33%</t>
  </si>
  <si>
    <t>PCFP Rates</t>
  </si>
  <si>
    <t>PCFP Revenue</t>
  </si>
  <si>
    <t>CS Sponsorship Fee @ 0.0125</t>
  </si>
  <si>
    <t xml:space="preserve">    Total PCFP Revenue</t>
  </si>
  <si>
    <t xml:space="preserve">    Other State &amp; Local Revenue</t>
  </si>
  <si>
    <t xml:space="preserve">    Total Federal, State &amp; Local Revenue, Grants, other funds </t>
  </si>
  <si>
    <t>Check Fee Base</t>
  </si>
  <si>
    <t>% of PCFP &amp; Other Grant funds</t>
  </si>
  <si>
    <t>Applies to PCFP and Sponsorship fee</t>
  </si>
  <si>
    <t>PCFP Sponsorship Fee</t>
  </si>
  <si>
    <t>CS Sponsorship Fee</t>
  </si>
  <si>
    <t xml:space="preserve">The Pupil Centered Funding Plan (PCFP) funding per student is automatically populated depending on the county where the school is located (Cell F57).   If the school will be a single-district or multi-district  virtual school with a Distance Education program, then under the PCFP, one PPR rate will apply--regardless of NV County/District.  </t>
  </si>
  <si>
    <t>Enrol &amp; Rev tab</t>
  </si>
  <si>
    <t>Basic Information</t>
  </si>
  <si>
    <t>The Inflation Adjuster in 'B67' is designed to account for any increases in PCFP Revenue. Please be sure to enter a cost of inflation in this cell. You may wish to test inflation rates of 0 to 3%.  Be sure you can still operate with a surplus even with a 0% inflator/escalator.</t>
  </si>
  <si>
    <t>Staff tab</t>
  </si>
  <si>
    <t>Instructional Days (Staff tab, row 65)</t>
  </si>
  <si>
    <t>General Operating ("Gen Optg") Expense tab</t>
  </si>
  <si>
    <t>Transportation and Food Services are not funded for charter schools.</t>
  </si>
  <si>
    <t>This tab differs from the Market tab. This  focuses not on where your pupils will come from but on marketing expenses to reach them.</t>
  </si>
  <si>
    <t>Use this tab to show your insurance plan/budget. Note legal insurance requirements</t>
  </si>
  <si>
    <t>Incubation, Other Pre-appr, Pre-Opening</t>
  </si>
  <si>
    <t>Incubation tab (Pre-Approval, Pre-Opening)</t>
  </si>
  <si>
    <t xml:space="preserve">Mike Dang, 949.229.2145 (cell) 702.486.8879 (office), mdang@spcsa.nv.gov </t>
  </si>
  <si>
    <t xml:space="preserve">Based on Nevada SUI rate of 2.95%.  Amt estimated based on teacher salary of 50K. </t>
  </si>
  <si>
    <t>Total Workers Comp Premium : 2,000.00</t>
  </si>
  <si>
    <t>Office Clerk</t>
  </si>
  <si>
    <t xml:space="preserve">Special Education Teacher </t>
  </si>
  <si>
    <t xml:space="preserve">ELL Teacher and Facilitator </t>
  </si>
  <si>
    <t xml:space="preserve">ELL Teacher/ Reading Specialist </t>
  </si>
  <si>
    <t xml:space="preserve">First Aid / Safety Assistant (FASA) </t>
  </si>
  <si>
    <t>Kindergarten</t>
  </si>
  <si>
    <t>First Grade</t>
  </si>
  <si>
    <t>2nd Grade</t>
  </si>
  <si>
    <t>3rd Grade</t>
  </si>
  <si>
    <t>4th Grade</t>
  </si>
  <si>
    <t>5th Grade</t>
  </si>
  <si>
    <t>Specials/Electives Licensed Teacher</t>
  </si>
  <si>
    <t>Specials/Electives</t>
  </si>
  <si>
    <t>Language Teacher</t>
  </si>
  <si>
    <t xml:space="preserve">Licensed Behavioral Specialist </t>
  </si>
  <si>
    <t xml:space="preserve">Includes Infinite Campus fee per student. </t>
  </si>
  <si>
    <t xml:space="preserve">Baseline is 15,990sq ft - added classroom space thereafter. </t>
  </si>
  <si>
    <t>Included in the lease rate per sq ft</t>
  </si>
  <si>
    <t xml:space="preserve">Alarm Inc Quote </t>
  </si>
  <si>
    <t>Strong Start Academy Elementary School</t>
  </si>
  <si>
    <t>See row 76 (office supplies)</t>
  </si>
  <si>
    <t xml:space="preserve">Electronic Curriculum </t>
  </si>
  <si>
    <t>Includes transportation, additional supplies (signs, snacks, etc.)</t>
  </si>
  <si>
    <t xml:space="preserve">Plan to purchase multifunctioning printers.  1 printer Y1-3, 2 printers Y4-6. </t>
  </si>
  <si>
    <t>Staff Cell Phones will not be provided</t>
  </si>
  <si>
    <t xml:space="preserve">1 Smartboard,  headsets w/mics (20 students) - per classroom </t>
  </si>
  <si>
    <t xml:space="preserve">Based on the curriculum rates used for City of Las Vegas Strong Start Academy Pre-K Programs. </t>
  </si>
  <si>
    <t>Cox Business quote</t>
  </si>
  <si>
    <t xml:space="preserve">Estimate include computer mice, replacement keyboards, additional monitors, etc. </t>
  </si>
  <si>
    <t xml:space="preserve">Based on basic software needed for operations such as Microsoft 365 Business ($20 user/month). </t>
  </si>
  <si>
    <t xml:space="preserve">Faculty Furniture includes ergonomic chair, desk , filing/storage cabinet </t>
  </si>
  <si>
    <t>Student Furniture Includes ergonomic desk, chairs.</t>
  </si>
  <si>
    <t>Funding allocated by the City of Las Vegas</t>
  </si>
  <si>
    <t xml:space="preserve">Rate based on national assessment of Title 1 survey (Brookings, 2015). </t>
  </si>
  <si>
    <t xml:space="preserve">Rate based on $737.4 million Title III appropriation from Congress in 2016, approx $150/ELL student. </t>
  </si>
  <si>
    <t>Workers Compensation</t>
  </si>
  <si>
    <t xml:space="preserve">Wasden Elementary School </t>
  </si>
  <si>
    <t>K-5</t>
  </si>
  <si>
    <t>Hoggard Elementary School</t>
  </si>
  <si>
    <t>Griffith Elementary School</t>
  </si>
  <si>
    <t>Twin Lakes Elementary School</t>
  </si>
  <si>
    <t>Cambeiro Elementary School</t>
  </si>
  <si>
    <t>Lunt Elementary School</t>
  </si>
  <si>
    <t xml:space="preserve">Tammy Malich </t>
  </si>
  <si>
    <t>702-229-1866</t>
  </si>
  <si>
    <t>702-229-6242</t>
  </si>
  <si>
    <t xml:space="preserve">Rocio Martinez Saucedo </t>
  </si>
  <si>
    <t>rsaucedo@lasvegasnevada.gov</t>
  </si>
  <si>
    <t>tmalich@lasvegasnevada.gov</t>
  </si>
  <si>
    <t xml:space="preserve">Downtown Las Vegas </t>
  </si>
  <si>
    <t>Yes</t>
  </si>
  <si>
    <t xml:space="preserve">Asses faculty technology every 3 years.  Price Assumption IF 50% faculty laptops are replaced. </t>
  </si>
  <si>
    <t xml:space="preserve">Cost reduction due to staffing needs reducing. </t>
  </si>
  <si>
    <t xml:space="preserve">Grade Level Teacher </t>
  </si>
  <si>
    <t>Social Worker</t>
  </si>
  <si>
    <t xml:space="preserve">Educational Consultants </t>
  </si>
  <si>
    <t>Marketing (school branding and outreach)</t>
  </si>
  <si>
    <t xml:space="preserve">Facility Beautification </t>
  </si>
  <si>
    <t>Public meetings with hosting</t>
  </si>
  <si>
    <t xml:space="preserve">Figure reflects food and refreshemtns. Space and technology use in-kind from City of Las Vegas. </t>
  </si>
  <si>
    <t>Five months prior to opening (Registration projected to open end of March): Launch a recruitment campaign for students.  Targeted at families of K-2 grade age children.</t>
  </si>
  <si>
    <t xml:space="preserve">Campaign to include: </t>
  </si>
  <si>
    <t xml:space="preserve">   Social Media Mix - Social Medias Ads, Regular Postings</t>
  </si>
  <si>
    <t xml:space="preserve">   Community Event Kits: pop-up banners, tablecloths, signage</t>
  </si>
  <si>
    <t xml:space="preserve">   Kick-Off Press Conference: Décor and giveaway items</t>
  </si>
  <si>
    <t xml:space="preserve">   Family Welcome Kits: guides, informational docs to welcome families </t>
  </si>
  <si>
    <t xml:space="preserve">   Ad mix: Eng and Spanish radio, digital targeted and billboard ads</t>
  </si>
  <si>
    <t>Y</t>
  </si>
  <si>
    <t>N/A</t>
  </si>
  <si>
    <t>No travel planned for staff</t>
  </si>
  <si>
    <t xml:space="preserve">Expenditures include sports equipment and accessories. </t>
  </si>
  <si>
    <t xml:space="preserve">Per suggestion from SPCSA, Figures reflect facilities cost (letter of intent has been attached) and the projected Mayor's Fund for Las Life LIFE projected fundraising revenue (letter of intent has been attached). </t>
  </si>
  <si>
    <t>Complete Insurance quote included in application as Attachment 17.</t>
  </si>
  <si>
    <t xml:space="preserve">Bldg Décor, etc. </t>
  </si>
  <si>
    <t xml:space="preserve">Not available for new schools for this biennium. </t>
  </si>
  <si>
    <t>Special Education Teacher and Coordinator</t>
  </si>
  <si>
    <t xml:space="preserve">Figures reflect Bambee (HR Firm) SOW and quote.  Pricing plans are based on two-year agreements in addition to the annual core compliance training bundle. </t>
  </si>
  <si>
    <t xml:space="preserve">C65 Figure reflect professional development and training provided by Dual Language education of New Mexico (DLeNM) SOW and quote for three years and TNTP quote for Year 1 of the school. G65 reflects DLeNM and TNTP prices.  H65, I65 only reflect DLeNM.  Organization will be PD provider for the school for the first three years of operations to design and implement the Dual Language Program. </t>
  </si>
  <si>
    <t xml:space="preserve">These figures reflect parent &amp; staff meetings, as well as school events referenced in the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</si>
</sst>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quot;SY &quot;General"/>
    <numFmt numFmtId="190" formatCode="0.00%;[Red]\(0.00%\);&quot;-%&quot;"/>
    <numFmt numFmtId="191" formatCode="#,##0_)&quot;sf/p&quot;;\(#,##0\)&quot;sf&quot;;_(* &quot;-&quot;_);_(@_)"/>
    <numFmt numFmtId="192" formatCode="_(#,##0_)&quot;sf/p&quot;;[Red]_(\(#,##0\);_(&quot;-&quot;_);_(@_)"/>
    <numFmt numFmtId="193" formatCode="General&quot; s&quot;"/>
    <numFmt numFmtId="194" formatCode="_(#,##0.0_)&quot;mi&quot;;[Red]_(\(#,##0.0\);_(&quot;-&quot;_);_(@_)"/>
    <numFmt numFmtId="195" formatCode="&quot;Yr &quot;General"/>
    <numFmt numFmtId="196" formatCode="0.0%;[Red]\(0.0%\);&quot;-%&quot;"/>
    <numFmt numFmtId="197" formatCode="_(#,##0_)&quot;s&quot;;[Red]_(\(#,##0\)&quot; s&quot;;_(&quot;-&quot;_);_(@_)"/>
    <numFmt numFmtId="198" formatCode="&quot;max &quot;#,##0_);[Red]\(#,##0\)"/>
    <numFmt numFmtId="199" formatCode="&quot;av &quot;_(&quot;$&quot;#,##0_);[Red]_(&quot;$&quot;\(#,##0\);_(&quot;$&quot;\ &quot;-&quot;_);_(@_)"/>
    <numFmt numFmtId="200" formatCode="&quot;min &quot;_(#,##0_);[Red]_(\(#,##0\);_(&quot;-&quot;_);_(@_)"/>
    <numFmt numFmtId="201" formatCode="_(#,##0_)&quot;s&quot;;[Red]_(\(#,##0\);_(&quot;-&quot;_);_(@_)"/>
    <numFmt numFmtId="202" formatCode="&quot;Plan max &quot;#,##0_);[Red]\(#,##0\)"/>
    <numFmt numFmtId="203" formatCode="_(#,##0.00_);[Red]_(\(#,##0.00\);_(&quot;-&quot;_);_(@_)"/>
    <numFmt numFmtId="204" formatCode="&quot;$&quot;#,##0_)&quot;/pp&quot;;[Red]\(&quot;$&quot;#,##0\);&quot;$-/pp&quot;"/>
    <numFmt numFmtId="205" formatCode="&quot;max &quot;#,##0_);[Red]\(#,##0\);&quot;max -&quot;"/>
    <numFmt numFmtId="206" formatCode="&quot;Plan max &quot;#,##0_);[Red]\(#,##0\);&quot;Plan max -&quot;"/>
    <numFmt numFmtId="207" formatCode="General;;&quot;-s&quot;"/>
    <numFmt numFmtId="208" formatCode="&quot;av&quot;_(&quot;$&quot;* #,##0_);_(&quot;$&quot;* \(#,##0\);_(&quot;$&quot;* &quot;-&quot;??_);_(@_)"/>
    <numFmt numFmtId="209" formatCode="#,##0_)&quot;Ss&quot;;[Red]\(#,##0\);&quot;- Ss&quot;"/>
    <numFmt numFmtId="210" formatCode="_(&quot;$&quot;#,##0.0_);[Red]_(&quot;$&quot;\(#,##0.0\);_(&quot;$&quot;\ &quot;-&quot;_);_(@_)"/>
    <numFmt numFmtId="211" formatCode="&quot;avg &quot;&quot;$&quot;#,##0_);[Red]\(&quot;$&quot;#,##0\);&quot;avg $-&quot;"/>
    <numFmt numFmtId="212" formatCode="&quot;$&quot;#,##0.00_);[Red]\(&quot;$&quot;#,##0.00\);&quot;$ -&quot;"/>
    <numFmt numFmtId="213" formatCode="0.00%;[Red]\(0.00%\);&quot;% -&quot;"/>
    <numFmt numFmtId="214" formatCode="#,##0.00;[Red]\(#,##0.00\);&quot;-&quot;"/>
    <numFmt numFmtId="215" formatCode="_(#,##0.0_)&quot;sf&quot;;[Red]_(\(#,##0.0\);_(&quot;-&quot;_);_(@_)"/>
    <numFmt numFmtId="216" formatCode="&quot;July 1, 20&quot;##"/>
  </numFmts>
  <fonts count="168">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2"/>
      <color theme="0"/>
      <name val="Arial"/>
      <family val="2"/>
    </font>
    <font>
      <b/>
      <sz val="11"/>
      <color indexed="8"/>
      <name val="Arial"/>
      <family val="2"/>
    </font>
    <font>
      <b/>
      <sz val="11"/>
      <color rgb="FF000000"/>
      <name val="Times New Roman"/>
      <family val="1"/>
    </font>
    <font>
      <b/>
      <sz val="12"/>
      <color theme="1"/>
      <name val="Arial"/>
      <family val="2"/>
    </font>
    <font>
      <b/>
      <sz val="14"/>
      <color theme="0"/>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11"/>
      <color rgb="FF0000FF"/>
      <name val="Calibri"/>
      <family val="2"/>
      <scheme val="minor"/>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rgb="FF0000FF"/>
      <name val="Times New Roman"/>
      <family val="1"/>
    </font>
    <font>
      <b/>
      <sz val="12"/>
      <color theme="1"/>
      <name val="Calibri"/>
      <family val="2"/>
      <scheme val="minor"/>
    </font>
    <font>
      <i/>
      <sz val="12"/>
      <color theme="1"/>
      <name val="Calibri"/>
      <family val="2"/>
      <scheme val="minor"/>
    </font>
    <font>
      <i/>
      <sz val="12"/>
      <color indexed="8"/>
      <name val="Times New Roman"/>
      <family val="1"/>
    </font>
    <font>
      <sz val="12"/>
      <color theme="1"/>
      <name val="Arial"/>
      <family val="2"/>
    </font>
    <font>
      <b/>
      <sz val="12"/>
      <color theme="0"/>
      <name val="Calibri"/>
      <family val="2"/>
      <scheme val="minor"/>
    </font>
    <font>
      <sz val="12"/>
      <color theme="0" tint="-0.34998626667073579"/>
      <name val="Times New Roman"/>
      <family val="1"/>
    </font>
    <font>
      <sz val="11"/>
      <color theme="0" tint="-0.249977111117893"/>
      <name val="Calibri"/>
      <family val="2"/>
      <scheme val="minor"/>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11"/>
      <color rgb="FF000000"/>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b/>
      <i/>
      <sz val="11"/>
      <color theme="1"/>
      <name val="Times New Roman"/>
      <family val="1"/>
    </font>
    <font>
      <b/>
      <sz val="14"/>
      <color indexed="8"/>
      <name val="Arial"/>
      <family val="2"/>
    </font>
    <font>
      <sz val="11"/>
      <color indexed="8"/>
      <name val="Arial"/>
      <family val="2"/>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s>
  <fills count="7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rgb="FF0000FF"/>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s>
  <borders count="143">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22"/>
      </top>
      <bottom style="hair">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23" applyNumberFormat="0" applyAlignment="0" applyProtection="0"/>
    <xf numFmtId="0" fontId="26" fillId="11" borderId="24" applyNumberFormat="0" applyAlignment="0" applyProtection="0"/>
    <xf numFmtId="0" fontId="27" fillId="11" borderId="23" applyNumberFormat="0" applyAlignment="0" applyProtection="0"/>
    <xf numFmtId="0" fontId="28" fillId="0" borderId="25" applyNumberFormat="0" applyFill="0" applyAlignment="0" applyProtection="0"/>
    <xf numFmtId="0" fontId="11" fillId="0" borderId="28" applyNumberFormat="0" applyFill="0" applyAlignment="0" applyProtection="0"/>
    <xf numFmtId="0" fontId="31"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31" fillId="37"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30"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30"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22"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2" borderId="26"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20" borderId="0" applyNumberFormat="0" applyBorder="0" applyAlignment="0" applyProtection="0"/>
    <xf numFmtId="0" fontId="31" fillId="30" borderId="0" applyNumberFormat="0" applyBorder="0" applyAlignment="0" applyProtection="0"/>
    <xf numFmtId="0" fontId="8" fillId="31" borderId="0" applyNumberFormat="0" applyBorder="0" applyAlignment="0" applyProtection="0"/>
    <xf numFmtId="0" fontId="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53"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2"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32" fillId="0" borderId="30" applyNumberFormat="0" applyFon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4" borderId="0" applyNumberFormat="0" applyBorder="0" applyAlignment="0" applyProtection="0"/>
    <xf numFmtId="0" fontId="23" fillId="8" borderId="0" applyNumberFormat="0" applyBorder="0" applyAlignment="0" applyProtection="0"/>
    <xf numFmtId="0" fontId="27" fillId="11" borderId="23"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7" borderId="0" applyNumberFormat="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5" fillId="10" borderId="23" applyNumberFormat="0" applyAlignment="0" applyProtection="0"/>
    <xf numFmtId="0" fontId="28" fillId="0" borderId="25" applyNumberFormat="0" applyFill="0" applyAlignment="0" applyProtection="0"/>
    <xf numFmtId="0" fontId="24" fillId="9" borderId="0" applyNumberFormat="0" applyBorder="0" applyAlignment="0" applyProtection="0"/>
    <xf numFmtId="0" fontId="8" fillId="0" borderId="0"/>
    <xf numFmtId="0" fontId="8" fillId="13" borderId="27" applyNumberFormat="0" applyFont="0" applyAlignment="0" applyProtection="0"/>
    <xf numFmtId="0" fontId="26" fillId="11" borderId="24"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23" fillId="50" borderId="0" applyNumberFormat="0" applyBorder="0" applyAlignment="0" applyProtection="0"/>
    <xf numFmtId="0" fontId="52" fillId="51" borderId="23"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3" borderId="0" applyNumberFormat="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4"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51" borderId="24"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22"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30"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0" borderId="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13"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3" borderId="0" applyNumberFormat="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4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0" borderId="0"/>
    <xf numFmtId="0" fontId="8" fillId="41" borderId="0" applyNumberFormat="0" applyBorder="0" applyAlignment="0" applyProtection="0"/>
    <xf numFmtId="0" fontId="8" fillId="13" borderId="27" applyNumberFormat="0" applyFont="0" applyAlignment="0" applyProtection="0"/>
    <xf numFmtId="0" fontId="8" fillId="44"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1" borderId="0" applyNumberFormat="0" applyBorder="0" applyAlignment="0" applyProtection="0"/>
    <xf numFmtId="0" fontId="8" fillId="0" borderId="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20"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11" fillId="0" borderId="28" applyNumberFormat="0" applyFill="0" applyAlignment="0" applyProtection="0"/>
    <xf numFmtId="0" fontId="20" fillId="0" borderId="21" applyNumberFormat="0" applyFill="0" applyAlignment="0" applyProtection="0"/>
    <xf numFmtId="43" fontId="8" fillId="0" borderId="0" applyFont="0" applyFill="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3" borderId="0" applyNumberFormat="0" applyBorder="0" applyAlignment="0" applyProtection="0"/>
    <xf numFmtId="44" fontId="8" fillId="0" borderId="0" applyFont="0" applyFill="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0" borderId="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4" borderId="0" applyNumberFormat="0" applyBorder="0" applyAlignment="0" applyProtection="0"/>
    <xf numFmtId="0" fontId="8" fillId="0" borderId="0"/>
    <xf numFmtId="168" fontId="8" fillId="0" borderId="0"/>
    <xf numFmtId="0" fontId="8" fillId="0" borderId="0"/>
    <xf numFmtId="168" fontId="8" fillId="0" borderId="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6"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17" borderId="0" applyNumberFormat="0" applyBorder="0" applyAlignment="0" applyProtection="0"/>
    <xf numFmtId="0" fontId="31"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6" borderId="0" applyNumberFormat="0" applyBorder="0" applyAlignment="0" applyProtection="0"/>
    <xf numFmtId="0" fontId="31" fillId="29" borderId="0" applyNumberFormat="0" applyBorder="0" applyAlignment="0" applyProtection="0"/>
    <xf numFmtId="0" fontId="31" fillId="39" borderId="0" applyNumberFormat="0" applyBorder="0" applyAlignment="0" applyProtection="0"/>
    <xf numFmtId="0" fontId="31" fillId="33" borderId="0" applyNumberFormat="0" applyBorder="0" applyAlignment="0" applyProtection="0"/>
    <xf numFmtId="0" fontId="31" fillId="43"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0" fontId="31" fillId="22" borderId="0" applyNumberFormat="0" applyBorder="0" applyAlignment="0" applyProtection="0"/>
    <xf numFmtId="0" fontId="31" fillId="46" borderId="0" applyNumberFormat="0" applyBorder="0" applyAlignment="0" applyProtection="0"/>
    <xf numFmtId="0" fontId="31" fillId="26" borderId="0" applyNumberFormat="0" applyBorder="0" applyAlignment="0" applyProtection="0"/>
    <xf numFmtId="0" fontId="31" fillId="48" borderId="0" applyNumberFormat="0" applyBorder="0" applyAlignment="0" applyProtection="0"/>
    <xf numFmtId="0" fontId="31" fillId="34" borderId="0" applyNumberFormat="0" applyBorder="0" applyAlignment="0" applyProtection="0"/>
    <xf numFmtId="0" fontId="31" fillId="49" borderId="0" applyNumberFormat="0" applyBorder="0" applyAlignment="0" applyProtection="0"/>
    <xf numFmtId="0" fontId="23" fillId="8" borderId="0" applyNumberFormat="0" applyBorder="0" applyAlignment="0" applyProtection="0"/>
    <xf numFmtId="0" fontId="23" fillId="50" borderId="0" applyNumberFormat="0" applyBorder="0" applyAlignment="0" applyProtection="0"/>
    <xf numFmtId="0" fontId="27" fillId="11" borderId="23" applyNumberFormat="0" applyAlignment="0" applyProtection="0"/>
    <xf numFmtId="0" fontId="52" fillId="51"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7" borderId="0" applyNumberFormat="0" applyBorder="0" applyAlignment="0" applyProtection="0"/>
    <xf numFmtId="0" fontId="22" fillId="43" borderId="0" applyNumberFormat="0" applyBorder="0" applyAlignment="0" applyProtection="0"/>
    <xf numFmtId="0" fontId="53" fillId="0" borderId="31" applyNumberFormat="0" applyFill="0" applyAlignment="0" applyProtection="0"/>
    <xf numFmtId="0" fontId="46" fillId="0" borderId="31" applyNumberFormat="0" applyFill="0" applyAlignment="0" applyProtection="0"/>
    <xf numFmtId="0" fontId="19" fillId="0" borderId="20" applyNumberFormat="0" applyFill="0" applyAlignment="0" applyProtection="0"/>
    <xf numFmtId="0" fontId="46" fillId="0" borderId="31"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20" fillId="0" borderId="21"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8" fillId="0" borderId="33" applyNumberFormat="0" applyFill="0" applyAlignment="0" applyProtection="0"/>
    <xf numFmtId="0" fontId="21" fillId="0" borderId="22"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10" borderId="23" applyNumberFormat="0" applyAlignment="0" applyProtection="0"/>
    <xf numFmtId="0" fontId="25" fillId="44"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28" fillId="0" borderId="25" applyNumberFormat="0" applyFill="0" applyAlignment="0" applyProtection="0"/>
    <xf numFmtId="0" fontId="24" fillId="9" borderId="0" applyNumberFormat="0" applyBorder="0" applyAlignment="0" applyProtection="0"/>
    <xf numFmtId="0" fontId="5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11" borderId="24" applyNumberFormat="0" applyAlignment="0" applyProtection="0"/>
    <xf numFmtId="0" fontId="26" fillId="51" borderId="24"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11" fillId="0" borderId="35"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23" fillId="50" borderId="0" applyNumberFormat="0" applyBorder="0" applyAlignment="0" applyProtection="0"/>
    <xf numFmtId="0" fontId="52" fillId="51" borderId="2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3" borderId="0" applyNumberFormat="0" applyBorder="0" applyAlignment="0" applyProtection="0"/>
    <xf numFmtId="0" fontId="46"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4"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51" borderId="2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5"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3" borderId="27" applyNumberFormat="0" applyFont="0" applyAlignment="0" applyProtection="0"/>
    <xf numFmtId="0" fontId="8" fillId="13"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4" borderId="36" applyNumberFormat="0" applyProtection="0">
      <alignment vertical="center"/>
    </xf>
    <xf numFmtId="4" fontId="60" fillId="44" borderId="36" applyNumberFormat="0" applyProtection="0">
      <alignment vertical="center"/>
    </xf>
    <xf numFmtId="4" fontId="51" fillId="44" borderId="36" applyNumberFormat="0" applyProtection="0">
      <alignment horizontal="left" vertical="center" indent="1"/>
    </xf>
    <xf numFmtId="0" fontId="51" fillId="44" borderId="36" applyNumberFormat="0" applyProtection="0">
      <alignment horizontal="left" vertical="top" indent="1"/>
    </xf>
    <xf numFmtId="4" fontId="51" fillId="52" borderId="0" applyNumberFormat="0" applyProtection="0">
      <alignment horizontal="left" vertical="center" indent="1"/>
    </xf>
    <xf numFmtId="4" fontId="45" fillId="39" borderId="36" applyNumberFormat="0" applyProtection="0">
      <alignment horizontal="right" vertical="center"/>
    </xf>
    <xf numFmtId="4" fontId="45" fillId="40" borderId="36" applyNumberFormat="0" applyProtection="0">
      <alignment horizontal="right" vertical="center"/>
    </xf>
    <xf numFmtId="4" fontId="45" fillId="49" borderId="36" applyNumberFormat="0" applyProtection="0">
      <alignment horizontal="right" vertical="center"/>
    </xf>
    <xf numFmtId="4" fontId="45" fillId="46" borderId="36" applyNumberFormat="0" applyProtection="0">
      <alignment horizontal="right" vertical="center"/>
    </xf>
    <xf numFmtId="4" fontId="45" fillId="53" borderId="36" applyNumberFormat="0" applyProtection="0">
      <alignment horizontal="right" vertical="center"/>
    </xf>
    <xf numFmtId="4" fontId="45" fillId="45" borderId="36" applyNumberFormat="0" applyProtection="0">
      <alignment horizontal="right" vertical="center"/>
    </xf>
    <xf numFmtId="4" fontId="45" fillId="54" borderId="36" applyNumberFormat="0" applyProtection="0">
      <alignment horizontal="right" vertical="center"/>
    </xf>
    <xf numFmtId="4" fontId="45" fillId="55" borderId="36" applyNumberFormat="0" applyProtection="0">
      <alignment horizontal="right" vertical="center"/>
    </xf>
    <xf numFmtId="4" fontId="45" fillId="56" borderId="36" applyNumberFormat="0" applyProtection="0">
      <alignment horizontal="right" vertical="center"/>
    </xf>
    <xf numFmtId="4" fontId="51" fillId="57" borderId="37" applyNumberFormat="0" applyProtection="0">
      <alignment horizontal="left" vertical="center" indent="1"/>
    </xf>
    <xf numFmtId="4" fontId="45" fillId="58" borderId="0" applyNumberFormat="0" applyProtection="0">
      <alignment horizontal="left" vertical="center" indent="1"/>
    </xf>
    <xf numFmtId="4" fontId="61" fillId="48" borderId="0" applyNumberFormat="0" applyProtection="0">
      <alignment horizontal="left" vertical="center" indent="1"/>
    </xf>
    <xf numFmtId="4" fontId="45" fillId="52" borderId="36" applyNumberFormat="0" applyProtection="0">
      <alignment horizontal="right" vertical="center"/>
    </xf>
    <xf numFmtId="4" fontId="45" fillId="58" borderId="0" applyNumberFormat="0" applyProtection="0">
      <alignment horizontal="left" vertical="center" indent="1"/>
    </xf>
    <xf numFmtId="4" fontId="45" fillId="52" borderId="0" applyNumberFormat="0" applyProtection="0">
      <alignment horizontal="left" vertical="center" indent="1"/>
    </xf>
    <xf numFmtId="0" fontId="2" fillId="48" borderId="36" applyNumberFormat="0" applyProtection="0">
      <alignment horizontal="left" vertical="center" indent="1"/>
    </xf>
    <xf numFmtId="0" fontId="2" fillId="48" borderId="36" applyNumberFormat="0" applyProtection="0">
      <alignment horizontal="left" vertical="top" indent="1"/>
    </xf>
    <xf numFmtId="0" fontId="2" fillId="52" borderId="36" applyNumberFormat="0" applyProtection="0">
      <alignment horizontal="left" vertical="center" indent="1"/>
    </xf>
    <xf numFmtId="0" fontId="2" fillId="52" borderId="36" applyNumberFormat="0" applyProtection="0">
      <alignment horizontal="left" vertical="top" indent="1"/>
    </xf>
    <xf numFmtId="0" fontId="2" fillId="38" borderId="36" applyNumberFormat="0" applyProtection="0">
      <alignment horizontal="left" vertical="center" indent="1"/>
    </xf>
    <xf numFmtId="0" fontId="2" fillId="38" borderId="36" applyNumberFormat="0" applyProtection="0">
      <alignment horizontal="left" vertical="top" indent="1"/>
    </xf>
    <xf numFmtId="0" fontId="2" fillId="58" borderId="36" applyNumberFormat="0" applyProtection="0">
      <alignment horizontal="left" vertical="center" indent="1"/>
    </xf>
    <xf numFmtId="0" fontId="2" fillId="58" borderId="36" applyNumberFormat="0" applyProtection="0">
      <alignment horizontal="left" vertical="top" indent="1"/>
    </xf>
    <xf numFmtId="0" fontId="2" fillId="51" borderId="29" applyNumberFormat="0">
      <protection locked="0"/>
    </xf>
    <xf numFmtId="4" fontId="45" fillId="41" borderId="36" applyNumberFormat="0" applyProtection="0">
      <alignment vertical="center"/>
    </xf>
    <xf numFmtId="4" fontId="62" fillId="41" borderId="36" applyNumberFormat="0" applyProtection="0">
      <alignment vertical="center"/>
    </xf>
    <xf numFmtId="4" fontId="45" fillId="41" borderId="36" applyNumberFormat="0" applyProtection="0">
      <alignment horizontal="left" vertical="center" indent="1"/>
    </xf>
    <xf numFmtId="0" fontId="45" fillId="41" borderId="36" applyNumberFormat="0" applyProtection="0">
      <alignment horizontal="left" vertical="top" indent="1"/>
    </xf>
    <xf numFmtId="4" fontId="45" fillId="58" borderId="36" applyNumberFormat="0" applyProtection="0">
      <alignment horizontal="right" vertical="center"/>
    </xf>
    <xf numFmtId="4" fontId="62" fillId="58" borderId="36" applyNumberFormat="0" applyProtection="0">
      <alignment horizontal="right" vertical="center"/>
    </xf>
    <xf numFmtId="4" fontId="45" fillId="52" borderId="36" applyNumberFormat="0" applyProtection="0">
      <alignment horizontal="left" vertical="center" indent="1"/>
    </xf>
    <xf numFmtId="0" fontId="45" fillId="52" borderId="36" applyNumberFormat="0" applyProtection="0">
      <alignment horizontal="left" vertical="top" indent="1"/>
    </xf>
    <xf numFmtId="4" fontId="63" fillId="59" borderId="0" applyNumberFormat="0" applyProtection="0">
      <alignment horizontal="left" vertical="center" indent="1"/>
    </xf>
    <xf numFmtId="4" fontId="41" fillId="58" borderId="36" applyNumberFormat="0" applyProtection="0">
      <alignment horizontal="right" vertical="center"/>
    </xf>
    <xf numFmtId="0" fontId="49" fillId="0" borderId="0" applyNumberForma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3" borderId="27"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31" applyNumberFormat="0" applyFill="0" applyAlignment="0" applyProtection="0"/>
    <xf numFmtId="0" fontId="47" fillId="0" borderId="32" applyNumberFormat="0" applyFill="0" applyAlignment="0" applyProtection="0"/>
    <xf numFmtId="0" fontId="42" fillId="0" borderId="33"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28"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3" borderId="27" applyNumberFormat="0" applyFont="0" applyAlignment="0" applyProtection="0"/>
    <xf numFmtId="9" fontId="8" fillId="0" borderId="0" applyFont="0" applyFill="0" applyBorder="0" applyAlignment="0" applyProtection="0"/>
    <xf numFmtId="0" fontId="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5" borderId="0" applyNumberFormat="0" applyBorder="0" applyAlignment="0" applyProtection="0"/>
    <xf numFmtId="0" fontId="8" fillId="16" borderId="0" applyNumberFormat="0" applyBorder="0" applyAlignment="0" applyProtection="0"/>
    <xf numFmtId="0" fontId="2" fillId="0" borderId="0"/>
    <xf numFmtId="0" fontId="2" fillId="0" borderId="0"/>
    <xf numFmtId="0" fontId="8" fillId="19" borderId="0" applyNumberFormat="0" applyBorder="0" applyAlignment="0" applyProtection="0"/>
    <xf numFmtId="0" fontId="2" fillId="0" borderId="0"/>
    <xf numFmtId="0" fontId="2" fillId="0" borderId="0"/>
    <xf numFmtId="0" fontId="8" fillId="23" borderId="0" applyNumberFormat="0" applyBorder="0" applyAlignment="0" applyProtection="0"/>
    <xf numFmtId="0" fontId="8" fillId="24" borderId="0" applyNumberFormat="0" applyBorder="0" applyAlignment="0" applyProtection="0"/>
    <xf numFmtId="0" fontId="2" fillId="0" borderId="0"/>
    <xf numFmtId="0" fontId="2" fillId="0" borderId="0"/>
    <xf numFmtId="0" fontId="8" fillId="27" borderId="0" applyNumberFormat="0" applyBorder="0" applyAlignment="0" applyProtection="0"/>
    <xf numFmtId="0" fontId="8" fillId="28" borderId="0" applyNumberFormat="0" applyBorder="0" applyAlignment="0" applyProtection="0"/>
    <xf numFmtId="0" fontId="2" fillId="0" borderId="0"/>
    <xf numFmtId="0" fontId="8" fillId="32" borderId="0" applyNumberFormat="0" applyBorder="0" applyAlignment="0" applyProtection="0"/>
    <xf numFmtId="0" fontId="2" fillId="0" borderId="0"/>
    <xf numFmtId="0" fontId="2" fillId="0" borderId="0"/>
    <xf numFmtId="0" fontId="8" fillId="35" borderId="0" applyNumberFormat="0" applyBorder="0" applyAlignment="0" applyProtection="0"/>
    <xf numFmtId="0" fontId="8" fillId="36"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20" borderId="0" applyNumberFormat="0" applyBorder="0" applyAlignment="0" applyProtection="0"/>
    <xf numFmtId="0" fontId="2" fillId="0" borderId="0"/>
    <xf numFmtId="0" fontId="8" fillId="3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0" borderId="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13"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3" borderId="0" applyNumberFormat="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4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0" borderId="0"/>
    <xf numFmtId="0" fontId="8" fillId="41" borderId="0" applyNumberFormat="0" applyBorder="0" applyAlignment="0" applyProtection="0"/>
    <xf numFmtId="0" fontId="8" fillId="13" borderId="27" applyNumberFormat="0" applyFont="0" applyAlignment="0" applyProtection="0"/>
    <xf numFmtId="0" fontId="8" fillId="44"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1" borderId="0" applyNumberFormat="0" applyBorder="0" applyAlignment="0" applyProtection="0"/>
    <xf numFmtId="0" fontId="8" fillId="0" borderId="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3" borderId="0" applyNumberFormat="0" applyBorder="0" applyAlignment="0" applyProtection="0"/>
    <xf numFmtId="44" fontId="8" fillId="0" borderId="0" applyFont="0" applyFill="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0" borderId="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4" borderId="0" applyNumberFormat="0" applyBorder="0" applyAlignment="0" applyProtection="0"/>
    <xf numFmtId="0" fontId="8" fillId="0" borderId="0"/>
    <xf numFmtId="168" fontId="8" fillId="0" borderId="0"/>
    <xf numFmtId="0" fontId="8" fillId="0" borderId="0"/>
    <xf numFmtId="168" fontId="8" fillId="0" borderId="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6"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5"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3" borderId="27" applyNumberFormat="0" applyFont="0" applyAlignment="0" applyProtection="0"/>
    <xf numFmtId="0" fontId="8" fillId="13"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3" borderId="27"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3" borderId="27"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2" borderId="26" applyNumberFormat="0" applyAlignment="0" applyProtection="0"/>
    <xf numFmtId="0" fontId="29" fillId="0" borderId="0" applyNumberFormat="0" applyFill="0" applyBorder="0" applyAlignment="0" applyProtection="0"/>
    <xf numFmtId="0" fontId="8" fillId="13" borderId="27" applyNumberFormat="0" applyFont="0" applyAlignment="0" applyProtection="0"/>
    <xf numFmtId="0" fontId="30" fillId="0" borderId="0" applyNumberFormat="0" applyFill="0" applyBorder="0" applyAlignment="0" applyProtection="0"/>
    <xf numFmtId="0" fontId="31" fillId="30"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68" fillId="0" borderId="0" applyNumberFormat="0" applyFill="0" applyBorder="0" applyAlignment="0" applyProtection="0"/>
    <xf numFmtId="0" fontId="69" fillId="7" borderId="0" applyNumberFormat="0" applyBorder="0" applyAlignment="0" applyProtection="0"/>
    <xf numFmtId="0" fontId="70" fillId="8" borderId="0" applyNumberFormat="0" applyBorder="0" applyAlignment="0" applyProtection="0"/>
    <xf numFmtId="0" fontId="71" fillId="9" borderId="0" applyNumberFormat="0" applyBorder="0" applyAlignment="0" applyProtection="0"/>
    <xf numFmtId="0" fontId="72" fillId="10" borderId="23" applyNumberFormat="0" applyAlignment="0" applyProtection="0"/>
    <xf numFmtId="0" fontId="73" fillId="11" borderId="24" applyNumberFormat="0" applyAlignment="0" applyProtection="0"/>
    <xf numFmtId="0" fontId="74" fillId="11" borderId="23" applyNumberFormat="0" applyAlignment="0" applyProtection="0"/>
    <xf numFmtId="0" fontId="75" fillId="0" borderId="25" applyNumberFormat="0" applyFill="0" applyAlignment="0" applyProtection="0"/>
    <xf numFmtId="0" fontId="76" fillId="12" borderId="26" applyNumberFormat="0" applyAlignment="0" applyProtection="0"/>
    <xf numFmtId="0" fontId="77" fillId="0" borderId="0" applyNumberFormat="0" applyFill="0" applyBorder="0" applyAlignment="0" applyProtection="0"/>
    <xf numFmtId="0" fontId="65" fillId="13" borderId="27" applyNumberFormat="0" applyFont="0" applyAlignment="0" applyProtection="0"/>
    <xf numFmtId="0" fontId="78" fillId="0" borderId="0" applyNumberFormat="0" applyFill="0" applyBorder="0" applyAlignment="0" applyProtection="0"/>
    <xf numFmtId="0" fontId="79" fillId="0" borderId="28" applyNumberFormat="0" applyFill="0" applyAlignment="0" applyProtection="0"/>
    <xf numFmtId="0" fontId="80"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65" fillId="31" borderId="0" applyNumberFormat="0" applyBorder="0" applyAlignment="0" applyProtection="0"/>
    <xf numFmtId="0" fontId="65" fillId="32"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80" fillId="37"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8"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9"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4" fontId="8" fillId="0" borderId="0" applyFont="0" applyFill="0" applyBorder="0" applyAlignment="0" applyProtection="0"/>
    <xf numFmtId="0" fontId="119" fillId="0" borderId="0"/>
  </cellStyleXfs>
  <cellXfs count="1913">
    <xf numFmtId="0" fontId="0" fillId="0" borderId="0" xfId="0"/>
    <xf numFmtId="0" fontId="11" fillId="0" borderId="0" xfId="0" applyFont="1"/>
    <xf numFmtId="0" fontId="0" fillId="0" borderId="0" xfId="0" applyAlignment="1">
      <alignment wrapText="1"/>
    </xf>
    <xf numFmtId="0" fontId="13" fillId="0" borderId="0" xfId="0" applyFont="1" applyAlignment="1">
      <alignment wrapText="1"/>
    </xf>
    <xf numFmtId="43" fontId="8" fillId="0" borderId="0" xfId="4" applyFont="1" applyProtection="1"/>
    <xf numFmtId="0" fontId="0" fillId="0" borderId="0" xfId="0" applyProtection="1"/>
    <xf numFmtId="172" fontId="0" fillId="0" borderId="0" xfId="0" applyNumberFormat="1" applyProtection="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applyProtection="1"/>
    <xf numFmtId="0" fontId="95" fillId="0" borderId="0" xfId="8" applyFont="1" applyFill="1" applyProtection="1"/>
    <xf numFmtId="0" fontId="95" fillId="0" borderId="0" xfId="8" applyFont="1" applyFill="1" applyBorder="1" applyProtection="1"/>
    <xf numFmtId="0" fontId="94" fillId="0" borderId="0" xfId="8" applyFont="1" applyProtection="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applyProtection="1"/>
    <xf numFmtId="0" fontId="86" fillId="0" borderId="0" xfId="0" applyFont="1" applyProtection="1"/>
    <xf numFmtId="0" fontId="88" fillId="65" borderId="0" xfId="0" applyFont="1" applyFill="1" applyProtection="1"/>
    <xf numFmtId="0" fontId="64" fillId="6" borderId="0" xfId="0" applyFont="1" applyFill="1" applyProtection="1"/>
    <xf numFmtId="0" fontId="88" fillId="65" borderId="0" xfId="0" applyFont="1" applyFill="1"/>
    <xf numFmtId="0" fontId="99" fillId="65" borderId="0" xfId="0" quotePrefix="1" applyFont="1" applyFill="1"/>
    <xf numFmtId="43" fontId="88" fillId="65" borderId="0" xfId="4" applyFont="1" applyFill="1" applyProtection="1"/>
    <xf numFmtId="43" fontId="16" fillId="6" borderId="0" xfId="4" applyFont="1" applyFill="1" applyProtection="1"/>
    <xf numFmtId="0" fontId="15" fillId="0" borderId="0" xfId="6628" applyFont="1"/>
    <xf numFmtId="0" fontId="98" fillId="6" borderId="0" xfId="6628" applyFont="1" applyFill="1"/>
    <xf numFmtId="0" fontId="64" fillId="6" borderId="0" xfId="6628" applyFont="1" applyFill="1"/>
    <xf numFmtId="0" fontId="14" fillId="0" borderId="0" xfId="8" applyFont="1" applyAlignment="1" applyProtection="1">
      <alignment horizontal="center"/>
    </xf>
    <xf numFmtId="0" fontId="14" fillId="0" borderId="0" xfId="8" applyFont="1" applyAlignment="1" applyProtection="1">
      <alignment horizontal="left"/>
    </xf>
    <xf numFmtId="0" fontId="15" fillId="6" borderId="0" xfId="6628" applyFont="1" applyFill="1"/>
    <xf numFmtId="44" fontId="95" fillId="0" borderId="0" xfId="8" applyNumberFormat="1" applyFont="1" applyFill="1" applyBorder="1" applyProtection="1"/>
    <xf numFmtId="173" fontId="95" fillId="0" borderId="0" xfId="8" applyNumberFormat="1" applyFont="1" applyProtection="1"/>
    <xf numFmtId="0" fontId="103" fillId="0" borderId="0" xfId="0" applyFont="1" applyProtection="1"/>
    <xf numFmtId="0" fontId="92" fillId="0" borderId="0" xfId="0" applyFont="1" applyProtection="1"/>
    <xf numFmtId="0" fontId="92" fillId="0" borderId="0" xfId="0" applyFont="1" applyFill="1" applyProtection="1"/>
    <xf numFmtId="0" fontId="92" fillId="0" borderId="0" xfId="0" applyFont="1" applyAlignment="1" applyProtection="1">
      <alignment horizontal="center"/>
    </xf>
    <xf numFmtId="0" fontId="91" fillId="0" borderId="0" xfId="0" applyFont="1" applyProtection="1"/>
    <xf numFmtId="174" fontId="92" fillId="0" borderId="0" xfId="0" applyNumberFormat="1" applyFont="1" applyFill="1" applyBorder="1" applyAlignment="1" applyProtection="1">
      <alignment horizontal="center"/>
    </xf>
    <xf numFmtId="8" fontId="92" fillId="0" borderId="0" xfId="0" applyNumberFormat="1" applyFont="1" applyProtection="1"/>
    <xf numFmtId="0" fontId="104" fillId="65" borderId="0" xfId="0" applyFont="1" applyFill="1" applyProtection="1"/>
    <xf numFmtId="0" fontId="91" fillId="0" borderId="0" xfId="0" applyFont="1" applyFill="1" applyProtection="1"/>
    <xf numFmtId="0" fontId="94" fillId="0" borderId="0" xfId="6628" applyFont="1"/>
    <xf numFmtId="0" fontId="104" fillId="6" borderId="0" xfId="0" applyFont="1" applyFill="1" applyProtection="1"/>
    <xf numFmtId="0" fontId="92" fillId="6" borderId="0" xfId="0" applyFont="1" applyFill="1" applyProtection="1"/>
    <xf numFmtId="0" fontId="94" fillId="0" borderId="0" xfId="0" applyFont="1" applyProtection="1"/>
    <xf numFmtId="0" fontId="100" fillId="0" borderId="0" xfId="0" applyFont="1" applyProtection="1"/>
    <xf numFmtId="0" fontId="91" fillId="3" borderId="0" xfId="0" applyFont="1" applyFill="1" applyBorder="1" applyProtection="1"/>
    <xf numFmtId="0" fontId="91" fillId="0" borderId="0" xfId="0" applyFont="1" applyAlignment="1" applyProtection="1">
      <alignment horizontal="center"/>
    </xf>
    <xf numFmtId="0" fontId="91" fillId="0" borderId="0" xfId="0" applyFont="1" applyAlignment="1" applyProtection="1">
      <alignment wrapText="1"/>
    </xf>
    <xf numFmtId="0" fontId="91" fillId="0" borderId="0" xfId="0" applyFont="1" applyAlignment="1" applyProtection="1">
      <alignment horizontal="left" wrapText="1"/>
    </xf>
    <xf numFmtId="8" fontId="91" fillId="3" borderId="0" xfId="0" applyNumberFormat="1" applyFont="1" applyFill="1" applyBorder="1" applyProtection="1"/>
    <xf numFmtId="6" fontId="91" fillId="0" borderId="0" xfId="0" applyNumberFormat="1" applyFont="1" applyAlignment="1" applyProtection="1">
      <alignment horizontal="center"/>
    </xf>
    <xf numFmtId="0" fontId="91" fillId="0" borderId="0" xfId="0" applyFont="1" applyFill="1" applyBorder="1" applyProtection="1"/>
    <xf numFmtId="0" fontId="91" fillId="0" borderId="0" xfId="0" applyFont="1" applyAlignment="1" applyProtection="1"/>
    <xf numFmtId="0" fontId="92" fillId="0" borderId="0" xfId="0" applyFont="1" applyFill="1" applyBorder="1" applyProtection="1"/>
    <xf numFmtId="0" fontId="92" fillId="3" borderId="0" xfId="0" applyFont="1" applyFill="1" applyBorder="1" applyProtection="1"/>
    <xf numFmtId="6" fontId="92" fillId="0" borderId="0" xfId="0" applyNumberFormat="1" applyFont="1" applyBorder="1" applyAlignment="1" applyProtection="1">
      <alignment horizontal="center" wrapText="1"/>
    </xf>
    <xf numFmtId="0" fontId="92" fillId="0" borderId="0" xfId="0" applyFont="1" applyFill="1" applyBorder="1" applyAlignment="1" applyProtection="1">
      <alignment horizontal="center" wrapText="1"/>
    </xf>
    <xf numFmtId="0" fontId="92" fillId="0" borderId="0" xfId="0" applyFont="1" applyFill="1" applyBorder="1" applyAlignment="1" applyProtection="1">
      <alignment horizontal="center"/>
    </xf>
    <xf numFmtId="8" fontId="91" fillId="0" borderId="0" xfId="0" applyNumberFormat="1" applyFont="1" applyProtection="1"/>
    <xf numFmtId="172" fontId="91" fillId="0" borderId="0" xfId="0" applyNumberFormat="1" applyFont="1" applyProtection="1"/>
    <xf numFmtId="172" fontId="91" fillId="0" borderId="0" xfId="0" applyNumberFormat="1" applyFont="1" applyAlignment="1" applyProtection="1">
      <alignment horizontal="center"/>
    </xf>
    <xf numFmtId="165" fontId="91" fillId="0" borderId="0" xfId="0" applyNumberFormat="1" applyFont="1" applyAlignment="1" applyProtection="1">
      <alignment horizontal="center"/>
    </xf>
    <xf numFmtId="164" fontId="91" fillId="3" borderId="0" xfId="0" applyNumberFormat="1" applyFont="1" applyFill="1" applyBorder="1" applyProtection="1"/>
    <xf numFmtId="164" fontId="92" fillId="0" borderId="0" xfId="0" applyNumberFormat="1" applyFont="1" applyFill="1" applyBorder="1" applyAlignment="1" applyProtection="1">
      <alignment horizontal="left"/>
    </xf>
    <xf numFmtId="172" fontId="91" fillId="0" borderId="0" xfId="0" applyNumberFormat="1" applyFont="1" applyAlignment="1" applyProtection="1">
      <alignment horizontal="center" vertical="top"/>
    </xf>
    <xf numFmtId="172" fontId="91" fillId="0" borderId="0" xfId="0" applyNumberFormat="1" applyFont="1" applyFill="1" applyAlignment="1" applyProtection="1">
      <alignment horizontal="center" vertical="top"/>
    </xf>
    <xf numFmtId="0" fontId="91" fillId="0" borderId="0" xfId="0" applyFont="1" applyBorder="1" applyProtection="1"/>
    <xf numFmtId="172" fontId="91" fillId="0" borderId="0" xfId="0" applyNumberFormat="1" applyFont="1" applyBorder="1" applyAlignment="1" applyProtection="1">
      <alignment horizontal="center" vertical="top"/>
    </xf>
    <xf numFmtId="174" fontId="91" fillId="0" borderId="0" xfId="0" applyNumberFormat="1" applyFont="1" applyProtection="1"/>
    <xf numFmtId="0" fontId="103" fillId="0" borderId="0" xfId="0" applyFont="1"/>
    <xf numFmtId="0" fontId="92" fillId="0" borderId="0" xfId="0" applyFont="1" applyAlignment="1">
      <alignment horizontal="center"/>
    </xf>
    <xf numFmtId="0" fontId="92" fillId="60" borderId="0" xfId="0" applyFont="1" applyFill="1"/>
    <xf numFmtId="0" fontId="104" fillId="65" borderId="0" xfId="0" applyFont="1" applyFill="1"/>
    <xf numFmtId="0" fontId="91" fillId="0" borderId="0" xfId="0" applyFont="1"/>
    <xf numFmtId="0" fontId="92" fillId="6" borderId="0" xfId="0" applyFont="1" applyFill="1"/>
    <xf numFmtId="0" fontId="92" fillId="0" borderId="0" xfId="0" applyFont="1" applyFill="1"/>
    <xf numFmtId="0" fontId="94" fillId="0" borderId="0" xfId="0" applyFont="1"/>
    <xf numFmtId="0" fontId="91" fillId="0" borderId="0" xfId="0" applyFont="1" applyFill="1"/>
    <xf numFmtId="0" fontId="100" fillId="0" borderId="0" xfId="0" applyFont="1"/>
    <xf numFmtId="0" fontId="92" fillId="0" borderId="0" xfId="0" applyFont="1"/>
    <xf numFmtId="0" fontId="92" fillId="0" borderId="0" xfId="0" applyFont="1" applyFill="1" applyBorder="1" applyAlignment="1">
      <alignment horizontal="center"/>
    </xf>
    <xf numFmtId="0" fontId="92" fillId="0" borderId="1" xfId="0" applyFont="1" applyFill="1" applyBorder="1" applyAlignment="1">
      <alignment horizontal="center"/>
    </xf>
    <xf numFmtId="172" fontId="91" fillId="0" borderId="0" xfId="0" applyNumberFormat="1" applyFont="1" applyFill="1" applyBorder="1" applyAlignment="1">
      <alignment horizontal="center"/>
    </xf>
    <xf numFmtId="0" fontId="91" fillId="0" borderId="0" xfId="0" applyFont="1" applyFill="1" applyBorder="1" applyAlignment="1">
      <alignment horizontal="center"/>
    </xf>
    <xf numFmtId="1" fontId="91" fillId="0" borderId="0" xfId="0" applyNumberFormat="1" applyFont="1" applyFill="1" applyBorder="1" applyAlignment="1">
      <alignment horizontal="center"/>
    </xf>
    <xf numFmtId="172" fontId="91" fillId="0" borderId="0" xfId="0" applyNumberFormat="1" applyFont="1" applyAlignment="1">
      <alignment horizontal="center" vertical="top"/>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63" borderId="1" xfId="0" applyFont="1" applyFill="1" applyBorder="1"/>
    <xf numFmtId="165" fontId="91" fillId="0" borderId="0" xfId="0" applyNumberFormat="1" applyFont="1" applyFill="1"/>
    <xf numFmtId="0" fontId="92" fillId="0" borderId="1" xfId="0" applyFont="1" applyBorder="1" applyAlignment="1">
      <alignment horizontal="center"/>
    </xf>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92" fillId="0" borderId="0" xfId="0" applyFont="1" applyFill="1" applyAlignment="1">
      <alignment horizontal="center"/>
    </xf>
    <xf numFmtId="0" fontId="91" fillId="0" borderId="0" xfId="0" applyFont="1" applyBorder="1" applyAlignment="1">
      <alignment horizontal="left" indent="1"/>
    </xf>
    <xf numFmtId="0" fontId="100" fillId="0" borderId="0" xfId="7" applyFont="1" applyFill="1" applyBorder="1" applyAlignment="1" applyProtection="1">
      <alignment horizontal="right" wrapText="1" indent="1"/>
    </xf>
    <xf numFmtId="0" fontId="91" fillId="0" borderId="0" xfId="0" applyFont="1" applyFill="1" applyBorder="1"/>
    <xf numFmtId="0" fontId="100" fillId="0" borderId="0" xfId="7" applyFont="1" applyBorder="1" applyAlignment="1" applyProtection="1">
      <alignment horizontal="right" wrapText="1" indent="1"/>
    </xf>
    <xf numFmtId="0" fontId="91" fillId="3" borderId="0" xfId="0" applyFont="1" applyFill="1" applyBorder="1"/>
    <xf numFmtId="164" fontId="91" fillId="3" borderId="0" xfId="0" applyNumberFormat="1" applyFont="1" applyFill="1" applyBorder="1" applyAlignment="1">
      <alignment horizontal="center" vertical="top"/>
    </xf>
    <xf numFmtId="0" fontId="91" fillId="3" borderId="1" xfId="0" applyFont="1" applyFill="1" applyBorder="1"/>
    <xf numFmtId="0" fontId="91" fillId="0" borderId="1" xfId="0" applyFont="1" applyFill="1" applyBorder="1"/>
    <xf numFmtId="0" fontId="91" fillId="3" borderId="47" xfId="0" applyFont="1" applyFill="1" applyBorder="1"/>
    <xf numFmtId="164" fontId="91" fillId="3" borderId="47" xfId="0" applyNumberFormat="1" applyFont="1" applyFill="1" applyBorder="1" applyAlignment="1">
      <alignment horizontal="center" vertical="top"/>
    </xf>
    <xf numFmtId="0" fontId="91" fillId="0" borderId="47" xfId="0" applyFont="1" applyFill="1" applyBorder="1"/>
    <xf numFmtId="0" fontId="92" fillId="3" borderId="0" xfId="0" applyFont="1" applyFill="1" applyBorder="1"/>
    <xf numFmtId="0" fontId="92" fillId="3" borderId="0" xfId="0" applyFont="1" applyFill="1" applyBorder="1" applyAlignment="1">
      <alignment horizontal="right"/>
    </xf>
    <xf numFmtId="0" fontId="92" fillId="3" borderId="0" xfId="0" applyFont="1" applyFill="1" applyBorder="1" applyAlignment="1">
      <alignment horizontal="center"/>
    </xf>
    <xf numFmtId="0" fontId="92" fillId="0" borderId="1" xfId="0" applyFont="1" applyFill="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applyProtection="1"/>
    <xf numFmtId="0" fontId="100" fillId="0" borderId="0" xfId="7" applyFont="1" applyBorder="1" applyAlignment="1" applyProtection="1">
      <alignment horizontal="right" wrapText="1"/>
    </xf>
    <xf numFmtId="0" fontId="105" fillId="0" borderId="0" xfId="0" applyFont="1" applyProtection="1"/>
    <xf numFmtId="44" fontId="92" fillId="0" borderId="0" xfId="6" applyFont="1" applyAlignment="1" applyProtection="1">
      <alignment horizontal="center"/>
    </xf>
    <xf numFmtId="44" fontId="94" fillId="0" borderId="0" xfId="6" applyFont="1" applyProtection="1"/>
    <xf numFmtId="0" fontId="94" fillId="63" borderId="0" xfId="8" applyFont="1" applyFill="1" applyProtection="1"/>
    <xf numFmtId="0" fontId="94" fillId="60" borderId="0" xfId="8" applyFont="1" applyFill="1" applyProtection="1"/>
    <xf numFmtId="0" fontId="92" fillId="0" borderId="0" xfId="8" applyFont="1" applyAlignment="1" applyProtection="1">
      <alignment horizontal="center"/>
    </xf>
    <xf numFmtId="44" fontId="95" fillId="0" borderId="1" xfId="8" applyNumberFormat="1" applyFont="1" applyBorder="1" applyProtection="1"/>
    <xf numFmtId="44" fontId="95" fillId="0" borderId="1" xfId="6" applyFont="1" applyBorder="1" applyProtection="1"/>
    <xf numFmtId="44" fontId="94" fillId="0" borderId="0" xfId="6" applyFont="1" applyBorder="1" applyProtection="1"/>
    <xf numFmtId="0" fontId="94" fillId="61" borderId="0" xfId="8" applyFont="1" applyFill="1" applyProtection="1"/>
    <xf numFmtId="44" fontId="94" fillId="61" borderId="0" xfId="6" applyFont="1" applyFill="1" applyBorder="1" applyProtection="1"/>
    <xf numFmtId="173" fontId="94" fillId="61" borderId="0" xfId="6" applyNumberFormat="1" applyFont="1" applyFill="1" applyBorder="1" applyProtection="1"/>
    <xf numFmtId="0" fontId="94" fillId="63" borderId="0" xfId="8" applyFont="1" applyFill="1" applyBorder="1" applyProtection="1"/>
    <xf numFmtId="0" fontId="94" fillId="63" borderId="0" xfId="8" applyFont="1" applyFill="1" applyBorder="1" applyAlignment="1" applyProtection="1">
      <alignment horizontal="center" wrapText="1"/>
    </xf>
    <xf numFmtId="44" fontId="94" fillId="63" borderId="0" xfId="6" applyFont="1" applyFill="1" applyBorder="1" applyAlignment="1" applyProtection="1">
      <alignment horizontal="center"/>
    </xf>
    <xf numFmtId="0" fontId="94" fillId="0" borderId="0" xfId="8" applyFont="1" applyFill="1" applyProtection="1"/>
    <xf numFmtId="9" fontId="95" fillId="0" borderId="0" xfId="10" applyFont="1" applyProtection="1"/>
    <xf numFmtId="0" fontId="91" fillId="0" borderId="0" xfId="0" quotePrefix="1" applyFont="1" applyProtection="1"/>
    <xf numFmtId="10" fontId="91" fillId="0" borderId="7" xfId="9" applyNumberFormat="1" applyFont="1" applyFill="1" applyBorder="1" applyAlignment="1">
      <alignment horizontal="left" vertical="top"/>
    </xf>
    <xf numFmtId="10" fontId="91" fillId="3" borderId="0"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Fill="1" applyAlignment="1">
      <alignment horizontal="left"/>
    </xf>
    <xf numFmtId="0" fontId="92" fillId="0" borderId="0" xfId="0" applyFont="1" applyBorder="1"/>
    <xf numFmtId="164" fontId="92" fillId="0" borderId="0" xfId="0" applyNumberFormat="1" applyFont="1" applyFill="1" applyBorder="1" applyAlignment="1">
      <alignment horizontal="center"/>
    </xf>
    <xf numFmtId="0" fontId="105" fillId="0" borderId="0" xfId="0" applyFont="1"/>
    <xf numFmtId="0" fontId="105" fillId="0" borderId="0" xfId="0" applyFont="1" applyBorder="1"/>
    <xf numFmtId="0" fontId="105" fillId="0" borderId="0" xfId="0" applyFont="1" applyFill="1" applyBorder="1"/>
    <xf numFmtId="0" fontId="91" fillId="0" borderId="0" xfId="0" applyFont="1" applyBorder="1"/>
    <xf numFmtId="10" fontId="91" fillId="3" borderId="0" xfId="9" applyNumberFormat="1" applyFont="1" applyFill="1" applyBorder="1" applyAlignment="1">
      <alignment horizontal="center" vertical="top"/>
    </xf>
    <xf numFmtId="0" fontId="91" fillId="3" borderId="0" xfId="0" applyFont="1" applyFill="1" applyBorder="1" applyAlignment="1">
      <alignment horizontal="center" vertical="top"/>
    </xf>
    <xf numFmtId="0" fontId="91" fillId="0" borderId="0" xfId="0" applyFont="1" applyFill="1" applyBorder="1" applyAlignment="1">
      <alignment horizontal="left"/>
    </xf>
    <xf numFmtId="0" fontId="91" fillId="3" borderId="0" xfId="0" applyFont="1" applyFill="1" applyBorder="1" applyAlignment="1">
      <alignment horizontal="center"/>
    </xf>
    <xf numFmtId="164" fontId="91" fillId="0" borderId="0" xfId="0" applyNumberFormat="1" applyFont="1" applyBorder="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9" fontId="92" fillId="3" borderId="0" xfId="9" applyNumberFormat="1" applyFont="1" applyFill="1" applyBorder="1" applyAlignment="1">
      <alignment horizontal="center" vertical="top"/>
    </xf>
    <xf numFmtId="172" fontId="91" fillId="0" borderId="0" xfId="0" applyNumberFormat="1" applyFont="1" applyFill="1" applyBorder="1" applyAlignment="1">
      <alignment horizontal="center" vertical="top"/>
    </xf>
    <xf numFmtId="164" fontId="91" fillId="0" borderId="0" xfId="0" applyNumberFormat="1" applyFont="1" applyFill="1" applyBorder="1" applyAlignment="1">
      <alignment horizontal="center"/>
    </xf>
    <xf numFmtId="182" fontId="91" fillId="0" borderId="0" xfId="0" applyNumberFormat="1" applyFont="1" applyFill="1" applyBorder="1" applyAlignment="1">
      <alignment horizontal="center"/>
    </xf>
    <xf numFmtId="182" fontId="91" fillId="0" borderId="0" xfId="0" applyNumberFormat="1" applyFont="1" applyFill="1" applyBorder="1"/>
    <xf numFmtId="1" fontId="92" fillId="3" borderId="0" xfId="11" applyNumberFormat="1" applyFont="1" applyFill="1" applyBorder="1" applyAlignment="1">
      <alignment horizontal="center"/>
    </xf>
    <xf numFmtId="164" fontId="92" fillId="3" borderId="0" xfId="11" applyNumberFormat="1" applyFont="1" applyFill="1" applyBorder="1" applyAlignment="1">
      <alignment horizontal="center"/>
    </xf>
    <xf numFmtId="1" fontId="92" fillId="0" borderId="0" xfId="0" applyNumberFormat="1" applyFont="1" applyFill="1" applyBorder="1" applyAlignment="1">
      <alignment horizontal="center"/>
    </xf>
    <xf numFmtId="0" fontId="104" fillId="62" borderId="0" xfId="0" applyFont="1" applyFill="1"/>
    <xf numFmtId="1" fontId="92" fillId="0" borderId="0" xfId="0" applyNumberFormat="1" applyFont="1" applyFill="1" applyBorder="1" applyAlignment="1">
      <alignment horizontal="left"/>
    </xf>
    <xf numFmtId="174" fontId="91" fillId="0" borderId="0" xfId="0" applyNumberFormat="1" applyFont="1" applyFill="1" applyBorder="1" applyAlignment="1">
      <alignment horizontal="center"/>
    </xf>
    <xf numFmtId="172" fontId="91" fillId="0" borderId="1" xfId="0" applyNumberFormat="1" applyFont="1" applyFill="1" applyBorder="1" applyAlignment="1">
      <alignment horizontal="center"/>
    </xf>
    <xf numFmtId="172" fontId="91" fillId="0" borderId="0" xfId="0" applyNumberFormat="1" applyFont="1" applyFill="1" applyBorder="1"/>
    <xf numFmtId="0" fontId="91" fillId="0" borderId="0" xfId="0" applyFont="1" applyFill="1" applyBorder="1" applyProtection="1">
      <protection hidden="1"/>
    </xf>
    <xf numFmtId="1" fontId="92" fillId="0" borderId="0" xfId="0" applyNumberFormat="1" applyFont="1" applyFill="1" applyBorder="1" applyAlignment="1" applyProtection="1">
      <alignment horizontal="center"/>
      <protection hidden="1"/>
    </xf>
    <xf numFmtId="172" fontId="91" fillId="0" borderId="0" xfId="0" applyNumberFormat="1" applyFont="1" applyFill="1" applyBorder="1" applyAlignment="1" applyProtection="1">
      <alignment horizontal="center"/>
      <protection hidden="1"/>
    </xf>
    <xf numFmtId="0" fontId="91" fillId="0" borderId="0" xfId="0" applyFont="1" applyProtection="1">
      <protection hidden="1"/>
    </xf>
    <xf numFmtId="0" fontId="91" fillId="0" borderId="0" xfId="0" applyFont="1" applyFill="1" applyProtection="1">
      <protection hidden="1"/>
    </xf>
    <xf numFmtId="172" fontId="91" fillId="0" borderId="0" xfId="0" applyNumberFormat="1" applyFont="1" applyBorder="1"/>
    <xf numFmtId="0" fontId="91" fillId="0" borderId="0" xfId="0" applyFont="1" applyFill="1" applyAlignment="1">
      <alignment horizontal="left"/>
    </xf>
    <xf numFmtId="165" fontId="91" fillId="0" borderId="0" xfId="0" applyNumberFormat="1" applyFont="1" applyBorder="1"/>
    <xf numFmtId="165" fontId="92" fillId="0" borderId="0" xfId="11" applyNumberFormat="1" applyFont="1" applyFill="1" applyBorder="1" applyAlignment="1">
      <alignment horizontal="center"/>
    </xf>
    <xf numFmtId="0" fontId="91" fillId="0" borderId="0" xfId="0" applyFont="1" applyFill="1" applyAlignment="1">
      <alignment wrapText="1"/>
    </xf>
    <xf numFmtId="0" fontId="91" fillId="0" borderId="0" xfId="0" applyFont="1" applyAlignment="1">
      <alignment wrapText="1"/>
    </xf>
    <xf numFmtId="0" fontId="91" fillId="0" borderId="0" xfId="0" applyFont="1" applyAlignment="1">
      <alignment horizontal="center"/>
    </xf>
    <xf numFmtId="174" fontId="91" fillId="0" borderId="0" xfId="0" applyNumberFormat="1" applyFont="1" applyFill="1" applyProtection="1"/>
    <xf numFmtId="172" fontId="91" fillId="0" borderId="0" xfId="0" applyNumberFormat="1" applyFont="1" applyFill="1" applyProtection="1"/>
    <xf numFmtId="0" fontId="109" fillId="65" borderId="0" xfId="0" applyFont="1" applyFill="1" applyProtection="1"/>
    <xf numFmtId="0" fontId="61" fillId="65" borderId="0" xfId="0" applyFont="1" applyFill="1" applyProtection="1"/>
    <xf numFmtId="0" fontId="61" fillId="6" borderId="0" xfId="0" applyFont="1" applyFill="1" applyProtection="1"/>
    <xf numFmtId="0" fontId="110" fillId="6" borderId="0" xfId="0" applyFont="1" applyFill="1" applyProtection="1"/>
    <xf numFmtId="0" fontId="91" fillId="0" borderId="1" xfId="0" applyFont="1" applyFill="1" applyBorder="1" applyProtection="1"/>
    <xf numFmtId="0" fontId="92" fillId="0" borderId="0" xfId="0" applyFont="1" applyBorder="1" applyProtection="1"/>
    <xf numFmtId="0" fontId="92" fillId="0" borderId="0" xfId="0" applyFont="1" applyFill="1" applyAlignment="1">
      <alignment horizontal="right"/>
    </xf>
    <xf numFmtId="0" fontId="95" fillId="0" borderId="0" xfId="0" applyFont="1" applyFill="1" applyProtection="1"/>
    <xf numFmtId="0" fontId="92" fillId="0" borderId="0" xfId="8" applyFont="1" applyAlignment="1" applyProtection="1">
      <alignment horizontal="left"/>
    </xf>
    <xf numFmtId="0" fontId="91" fillId="0" borderId="0" xfId="0" applyFont="1" applyFill="1" applyAlignment="1">
      <alignment horizontal="center" wrapText="1"/>
    </xf>
    <xf numFmtId="0" fontId="112" fillId="0" borderId="0" xfId="0" applyFont="1"/>
    <xf numFmtId="0" fontId="87" fillId="0" borderId="0" xfId="0" applyFont="1"/>
    <xf numFmtId="0" fontId="86" fillId="0" borderId="0" xfId="0" applyFont="1"/>
    <xf numFmtId="0" fontId="85" fillId="0" borderId="0" xfId="0" applyFont="1"/>
    <xf numFmtId="0" fontId="64" fillId="6" borderId="0" xfId="0" applyFont="1" applyFill="1"/>
    <xf numFmtId="0" fontId="16" fillId="6" borderId="0" xfId="0" applyFont="1" applyFill="1"/>
    <xf numFmtId="0" fontId="61" fillId="6" borderId="0" xfId="0" applyFont="1" applyFill="1"/>
    <xf numFmtId="0" fontId="106" fillId="3" borderId="0" xfId="0" applyFont="1" applyFill="1" applyBorder="1"/>
    <xf numFmtId="0" fontId="113" fillId="65" borderId="0" xfId="0" quotePrefix="1" applyFont="1" applyFill="1"/>
    <xf numFmtId="172" fontId="91" fillId="3" borderId="0" xfId="13330" applyNumberFormat="1" applyFont="1" applyFill="1" applyBorder="1" applyAlignment="1">
      <alignment horizontal="center" vertical="top"/>
    </xf>
    <xf numFmtId="0" fontId="91" fillId="0" borderId="57" xfId="0" applyFont="1" applyBorder="1"/>
    <xf numFmtId="172" fontId="92" fillId="3" borderId="57" xfId="0" applyNumberFormat="1" applyFont="1" applyFill="1" applyBorder="1" applyAlignment="1">
      <alignment horizontal="center"/>
    </xf>
    <xf numFmtId="9" fontId="91" fillId="0" borderId="0" xfId="9" applyFont="1" applyFill="1" applyBorder="1" applyAlignment="1">
      <alignment horizontal="center" vertical="top"/>
    </xf>
    <xf numFmtId="0" fontId="92" fillId="0" borderId="57" xfId="0" applyFont="1" applyBorder="1"/>
    <xf numFmtId="174" fontId="91" fillId="0" borderId="0" xfId="0" applyNumberFormat="1" applyFont="1" applyFill="1" applyBorder="1"/>
    <xf numFmtId="0" fontId="92" fillId="0" borderId="57" xfId="0" applyFont="1" applyFill="1" applyBorder="1"/>
    <xf numFmtId="1" fontId="92" fillId="0" borderId="57" xfId="0" applyNumberFormat="1" applyFont="1" applyFill="1" applyBorder="1" applyAlignment="1">
      <alignment horizontal="center"/>
    </xf>
    <xf numFmtId="174" fontId="91" fillId="0" borderId="0" xfId="0" applyNumberFormat="1" applyFont="1"/>
    <xf numFmtId="0" fontId="114" fillId="0" borderId="0" xfId="0" applyFont="1" applyAlignment="1" applyProtection="1">
      <alignment horizontal="center"/>
    </xf>
    <xf numFmtId="174" fontId="91" fillId="0" borderId="0" xfId="0" applyNumberFormat="1" applyFont="1" applyFill="1" applyAlignment="1">
      <alignment horizontal="right"/>
    </xf>
    <xf numFmtId="174" fontId="91" fillId="0" borderId="0" xfId="0" applyNumberFormat="1" applyFont="1" applyFill="1" applyAlignment="1" applyProtection="1">
      <alignment horizontal="right"/>
      <protection hidden="1"/>
    </xf>
    <xf numFmtId="174" fontId="92" fillId="0" borderId="0" xfId="0" applyNumberFormat="1" applyFont="1" applyFill="1" applyBorder="1" applyAlignment="1" applyProtection="1">
      <alignment horizontal="right"/>
      <protection hidden="1"/>
    </xf>
    <xf numFmtId="174" fontId="92" fillId="0" borderId="0" xfId="0" applyNumberFormat="1" applyFont="1" applyBorder="1" applyAlignment="1">
      <alignment horizontal="right"/>
    </xf>
    <xf numFmtId="174" fontId="92" fillId="0" borderId="0" xfId="0" applyNumberFormat="1" applyFont="1" applyFill="1" applyBorder="1" applyAlignment="1">
      <alignment horizontal="right"/>
    </xf>
    <xf numFmtId="174" fontId="91" fillId="0" borderId="0" xfId="0" applyNumberFormat="1" applyFont="1" applyFill="1" applyBorder="1" applyAlignment="1">
      <alignment horizontal="right"/>
    </xf>
    <xf numFmtId="174" fontId="91" fillId="0" borderId="0" xfId="0" applyNumberFormat="1" applyFont="1" applyBorder="1" applyAlignment="1">
      <alignment horizontal="right"/>
    </xf>
    <xf numFmtId="174" fontId="105" fillId="0" borderId="0" xfId="0" applyNumberFormat="1" applyFont="1" applyAlignment="1">
      <alignment horizontal="right"/>
    </xf>
    <xf numFmtId="174" fontId="91"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2" fillId="0" borderId="0" xfId="0" applyNumberFormat="1" applyFont="1" applyAlignment="1">
      <alignment horizontal="right"/>
    </xf>
    <xf numFmtId="174" fontId="105" fillId="0" borderId="0" xfId="0" applyNumberFormat="1" applyFont="1" applyBorder="1" applyAlignment="1">
      <alignment horizontal="right"/>
    </xf>
    <xf numFmtId="174" fontId="92" fillId="0" borderId="0" xfId="11" applyNumberFormat="1" applyFont="1" applyFill="1" applyBorder="1" applyAlignment="1">
      <alignment horizontal="right"/>
    </xf>
    <xf numFmtId="174" fontId="91" fillId="3" borderId="0" xfId="0" applyNumberFormat="1" applyFont="1" applyFill="1" applyBorder="1" applyAlignment="1">
      <alignment horizontal="right"/>
    </xf>
    <xf numFmtId="174" fontId="91" fillId="0" borderId="1" xfId="0" applyNumberFormat="1" applyFont="1" applyBorder="1" applyAlignment="1">
      <alignment horizontal="right"/>
    </xf>
    <xf numFmtId="172" fontId="91" fillId="0" borderId="0" xfId="0" applyNumberFormat="1" applyFont="1" applyFill="1" applyBorder="1" applyAlignment="1">
      <alignment horizontal="right"/>
    </xf>
    <xf numFmtId="172" fontId="91" fillId="0" borderId="1" xfId="0" applyNumberFormat="1" applyFont="1" applyFill="1" applyBorder="1" applyAlignment="1">
      <alignment horizontal="right"/>
    </xf>
    <xf numFmtId="0" fontId="92" fillId="0" borderId="0" xfId="0" applyFont="1" applyFill="1" applyBorder="1"/>
    <xf numFmtId="0" fontId="96" fillId="0" borderId="0" xfId="0" applyFont="1" applyFill="1" applyBorder="1"/>
    <xf numFmtId="172" fontId="91" fillId="0" borderId="0" xfId="0" applyNumberFormat="1" applyFont="1" applyFill="1" applyBorder="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1" fillId="0" borderId="47" xfId="0" applyFont="1" applyBorder="1"/>
    <xf numFmtId="0" fontId="96" fillId="0" borderId="0" xfId="0" applyFont="1" applyFill="1" applyBorder="1" applyAlignment="1">
      <alignment horizontal="left"/>
    </xf>
    <xf numFmtId="0" fontId="91" fillId="3" borderId="57" xfId="0" applyFont="1" applyFill="1" applyBorder="1"/>
    <xf numFmtId="172" fontId="91" fillId="0" borderId="0" xfId="0" quotePrefix="1" applyNumberFormat="1" applyFont="1" applyFill="1"/>
    <xf numFmtId="172" fontId="91" fillId="0" borderId="0" xfId="0" applyNumberFormat="1" applyFont="1" applyFill="1"/>
    <xf numFmtId="174" fontId="91" fillId="0" borderId="0" xfId="0" applyNumberFormat="1" applyFont="1" applyFill="1"/>
    <xf numFmtId="1" fontId="96" fillId="0" borderId="0" xfId="0" applyNumberFormat="1" applyFont="1" applyFill="1" applyBorder="1" applyAlignment="1">
      <alignment horizontal="center"/>
    </xf>
    <xf numFmtId="0" fontId="96" fillId="0" borderId="0" xfId="0" applyFont="1" applyFill="1" applyBorder="1" applyAlignment="1">
      <alignment horizontal="center"/>
    </xf>
    <xf numFmtId="0" fontId="96" fillId="0" borderId="0" xfId="0" applyFont="1" applyFill="1"/>
    <xf numFmtId="174" fontId="96" fillId="0" borderId="0" xfId="0" applyNumberFormat="1" applyFont="1" applyFill="1" applyBorder="1" applyAlignment="1">
      <alignment horizontal="center"/>
    </xf>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55" xfId="11" applyNumberFormat="1" applyFont="1" applyBorder="1" applyAlignment="1" applyProtection="1">
      <alignment horizontal="center"/>
      <protection locked="0"/>
    </xf>
    <xf numFmtId="172" fontId="96" fillId="4" borderId="55" xfId="11" applyNumberFormat="1" applyFont="1" applyBorder="1" applyAlignment="1" applyProtection="1">
      <alignment horizontal="center" vertical="top"/>
      <protection locked="0"/>
    </xf>
    <xf numFmtId="182" fontId="96" fillId="4" borderId="55" xfId="11" applyNumberFormat="1" applyFont="1" applyBorder="1" applyAlignment="1" applyProtection="1">
      <alignment horizontal="center" vertical="top"/>
      <protection locked="0"/>
    </xf>
    <xf numFmtId="0" fontId="96" fillId="4" borderId="55" xfId="11" applyFont="1" applyBorder="1" applyAlignment="1" applyProtection="1">
      <protection locked="0"/>
    </xf>
    <xf numFmtId="1" fontId="96" fillId="4" borderId="55" xfId="11" applyNumberFormat="1" applyFont="1" applyBorder="1" applyAlignment="1" applyProtection="1">
      <alignment horizontal="center"/>
      <protection locked="0"/>
    </xf>
    <xf numFmtId="1" fontId="96" fillId="4" borderId="55" xfId="11" applyNumberFormat="1" applyFont="1" applyBorder="1" applyAlignment="1">
      <alignment horizontal="center"/>
    </xf>
    <xf numFmtId="0" fontId="91" fillId="0" borderId="1" xfId="0" applyFont="1" applyFill="1" applyBorder="1" applyAlignment="1">
      <alignment horizontal="center" wrapText="1"/>
    </xf>
    <xf numFmtId="172" fontId="96" fillId="2" borderId="55" xfId="0" applyNumberFormat="1" applyFont="1" applyFill="1" applyBorder="1" applyAlignment="1" applyProtection="1">
      <alignment horizontal="center" vertical="top"/>
      <protection locked="0"/>
    </xf>
    <xf numFmtId="172" fontId="96" fillId="4" borderId="55" xfId="11" applyNumberFormat="1" applyFont="1" applyBorder="1" applyAlignment="1" applyProtection="1">
      <alignment horizontal="right"/>
      <protection locked="0"/>
    </xf>
    <xf numFmtId="172" fontId="96" fillId="4" borderId="55" xfId="11" applyNumberFormat="1" applyFont="1" applyBorder="1" applyAlignment="1">
      <alignment horizontal="right"/>
    </xf>
    <xf numFmtId="172" fontId="96" fillId="4" borderId="3" xfId="11" applyNumberFormat="1" applyFont="1" applyAlignment="1" applyProtection="1">
      <alignment horizontal="right"/>
      <protection locked="0"/>
    </xf>
    <xf numFmtId="0" fontId="91" fillId="0" borderId="0" xfId="0" applyFont="1" applyAlignment="1">
      <alignment horizontal="left"/>
    </xf>
    <xf numFmtId="172" fontId="91" fillId="0" borderId="0" xfId="0" applyNumberFormat="1" applyFont="1" applyAlignment="1" applyProtection="1">
      <alignment horizontal="right" wrapText="1"/>
    </xf>
    <xf numFmtId="172" fontId="92" fillId="6" borderId="0" xfId="0" applyNumberFormat="1" applyFont="1" applyFill="1" applyBorder="1" applyAlignment="1" applyProtection="1">
      <alignment horizontal="center"/>
    </xf>
    <xf numFmtId="172" fontId="91" fillId="3" borderId="0" xfId="0" applyNumberFormat="1" applyFont="1" applyFill="1" applyBorder="1"/>
    <xf numFmtId="172" fontId="89" fillId="0" borderId="52" xfId="0" applyNumberFormat="1" applyFont="1" applyFill="1" applyBorder="1" applyAlignment="1">
      <alignment horizontal="center"/>
    </xf>
    <xf numFmtId="172" fontId="89" fillId="0" borderId="66" xfId="0" applyNumberFormat="1" applyFont="1" applyFill="1" applyBorder="1" applyAlignment="1">
      <alignment horizontal="center"/>
    </xf>
    <xf numFmtId="0" fontId="92" fillId="0" borderId="57" xfId="0" applyFont="1" applyBorder="1" applyAlignment="1" applyProtection="1">
      <alignment horizontal="center"/>
    </xf>
    <xf numFmtId="0" fontId="91" fillId="0" borderId="57" xfId="0" applyFont="1" applyBorder="1" applyProtection="1"/>
    <xf numFmtId="0" fontId="105" fillId="3" borderId="0" xfId="0" applyFont="1" applyFill="1" applyBorder="1"/>
    <xf numFmtId="172" fontId="89" fillId="0" borderId="52" xfId="0" applyNumberFormat="1" applyFont="1" applyFill="1" applyBorder="1" applyAlignment="1">
      <alignment horizontal="left"/>
    </xf>
    <xf numFmtId="172" fontId="89" fillId="0" borderId="66" xfId="0" applyNumberFormat="1" applyFont="1" applyFill="1" applyBorder="1" applyAlignment="1">
      <alignment horizontal="left"/>
    </xf>
    <xf numFmtId="0" fontId="91" fillId="0" borderId="57" xfId="0" applyFont="1" applyFill="1" applyBorder="1" applyProtection="1">
      <protection hidden="1"/>
    </xf>
    <xf numFmtId="172" fontId="91" fillId="0" borderId="0" xfId="0" applyNumberFormat="1" applyFont="1" applyFill="1" applyAlignment="1">
      <alignment horizontal="left"/>
    </xf>
    <xf numFmtId="0" fontId="91" fillId="62" borderId="0" xfId="0" applyFont="1" applyFill="1"/>
    <xf numFmtId="182" fontId="91" fillId="62" borderId="0" xfId="0" applyNumberFormat="1" applyFont="1" applyFill="1" applyBorder="1"/>
    <xf numFmtId="0" fontId="91" fillId="62" borderId="0" xfId="0" applyFont="1" applyFill="1" applyBorder="1" applyProtection="1"/>
    <xf numFmtId="172" fontId="91" fillId="62" borderId="0" xfId="0" applyNumberFormat="1" applyFont="1" applyFill="1" applyBorder="1" applyAlignment="1">
      <alignment horizontal="center" vertical="top"/>
    </xf>
    <xf numFmtId="0" fontId="92" fillId="62" borderId="0" xfId="0" applyFont="1" applyFill="1" applyBorder="1"/>
    <xf numFmtId="0" fontId="92" fillId="62" borderId="0" xfId="0" applyFont="1" applyFill="1" applyBorder="1" applyAlignment="1">
      <alignment horizontal="center"/>
    </xf>
    <xf numFmtId="0" fontId="91" fillId="62" borderId="0" xfId="0" applyFont="1" applyFill="1" applyBorder="1" applyAlignment="1">
      <alignment horizontal="center" wrapText="1"/>
    </xf>
    <xf numFmtId="0" fontId="92" fillId="3" borderId="57" xfId="0" applyFont="1" applyFill="1" applyBorder="1"/>
    <xf numFmtId="0" fontId="91" fillId="0" borderId="0" xfId="0" applyFont="1" applyFill="1" applyAlignment="1">
      <alignment horizontal="center"/>
    </xf>
    <xf numFmtId="0" fontId="96" fillId="0" borderId="0" xfId="0" applyFont="1" applyFill="1" applyAlignment="1">
      <alignment horizontal="center"/>
    </xf>
    <xf numFmtId="0" fontId="92" fillId="0" borderId="1" xfId="0" applyFont="1" applyFill="1" applyBorder="1"/>
    <xf numFmtId="164" fontId="91" fillId="62" borderId="0" xfId="0" applyNumberFormat="1" applyFont="1" applyFill="1" applyBorder="1" applyAlignment="1" applyProtection="1">
      <alignment horizontal="center"/>
    </xf>
    <xf numFmtId="172" fontId="92" fillId="62" borderId="0" xfId="0" applyNumberFormat="1" applyFont="1" applyFill="1" applyBorder="1" applyAlignment="1">
      <alignment horizontal="center" vertical="top"/>
    </xf>
    <xf numFmtId="0" fontId="91" fillId="62" borderId="0" xfId="0" applyFont="1" applyFill="1" applyBorder="1"/>
    <xf numFmtId="182" fontId="91" fillId="62" borderId="0" xfId="0" applyNumberFormat="1" applyFont="1" applyFill="1" applyBorder="1" applyAlignment="1">
      <alignment horizontal="center"/>
    </xf>
    <xf numFmtId="165" fontId="91" fillId="0" borderId="0" xfId="11" applyNumberFormat="1" applyFont="1" applyFill="1" applyBorder="1" applyAlignment="1" applyProtection="1">
      <alignment horizontal="center" vertical="top"/>
    </xf>
    <xf numFmtId="0" fontId="91" fillId="0" borderId="0" xfId="0" applyFont="1" applyFill="1" applyBorder="1" applyAlignment="1">
      <alignment horizontal="center" wrapText="1"/>
    </xf>
    <xf numFmtId="182" fontId="91" fillId="0" borderId="57" xfId="0" applyNumberFormat="1" applyFont="1" applyFill="1" applyBorder="1" applyAlignment="1">
      <alignment horizontal="center"/>
    </xf>
    <xf numFmtId="182" fontId="91" fillId="0" borderId="57" xfId="0" applyNumberFormat="1" applyFont="1" applyFill="1" applyBorder="1"/>
    <xf numFmtId="174" fontId="96" fillId="0" borderId="0" xfId="0" applyNumberFormat="1" applyFont="1" applyFill="1" applyBorder="1"/>
    <xf numFmtId="0" fontId="104" fillId="0" borderId="1" xfId="0" applyFont="1" applyFill="1" applyBorder="1"/>
    <xf numFmtId="172" fontId="91" fillId="0" borderId="1" xfId="0" applyNumberFormat="1" applyFont="1" applyFill="1" applyBorder="1" applyAlignment="1">
      <alignment horizontal="center" vertical="top"/>
    </xf>
    <xf numFmtId="0" fontId="104" fillId="0" borderId="57" xfId="0" applyFont="1" applyBorder="1"/>
    <xf numFmtId="174" fontId="92" fillId="0" borderId="57" xfId="0" applyNumberFormat="1" applyFont="1" applyBorder="1" applyAlignment="1">
      <alignment horizontal="right"/>
    </xf>
    <xf numFmtId="0" fontId="92" fillId="0" borderId="57" xfId="0" applyFont="1" applyBorder="1" applyProtection="1">
      <protection hidden="1"/>
    </xf>
    <xf numFmtId="174" fontId="92" fillId="0" borderId="57" xfId="0" applyNumberFormat="1" applyFont="1" applyBorder="1" applyAlignment="1" applyProtection="1">
      <alignment horizontal="right"/>
      <protection hidden="1"/>
    </xf>
    <xf numFmtId="0" fontId="91" fillId="0" borderId="57" xfId="0" applyFont="1" applyBorder="1" applyProtection="1">
      <protection hidden="1"/>
    </xf>
    <xf numFmtId="172" fontId="91" fillId="0" borderId="0" xfId="0" applyNumberFormat="1" applyFont="1" applyFill="1" applyBorder="1" applyAlignment="1" applyProtection="1">
      <alignment horizontal="left"/>
      <protection hidden="1"/>
    </xf>
    <xf numFmtId="177" fontId="91" fillId="0" borderId="0" xfId="0" applyNumberFormat="1" applyFont="1" applyAlignment="1" applyProtection="1">
      <alignment horizontal="center"/>
    </xf>
    <xf numFmtId="0" fontId="105" fillId="0" borderId="0" xfId="0" applyFont="1" applyFill="1" applyProtection="1"/>
    <xf numFmtId="188" fontId="92" fillId="0" borderId="0" xfId="0" applyNumberFormat="1" applyFont="1" applyAlignment="1">
      <alignment horizontal="center"/>
    </xf>
    <xf numFmtId="172" fontId="92" fillId="3" borderId="0" xfId="0" applyNumberFormat="1" applyFont="1" applyFill="1" applyBorder="1" applyAlignment="1">
      <alignment horizontal="center"/>
    </xf>
    <xf numFmtId="9" fontId="91" fillId="3" borderId="0" xfId="13330" applyFont="1" applyFill="1" applyBorder="1" applyAlignment="1">
      <alignment horizontal="center" vertical="top"/>
    </xf>
    <xf numFmtId="0" fontId="106" fillId="0" borderId="0" xfId="0" applyFont="1" applyProtection="1"/>
    <xf numFmtId="0" fontId="96" fillId="4" borderId="67" xfId="11" applyFont="1" applyBorder="1" applyAlignment="1" applyProtection="1">
      <protection locked="0"/>
    </xf>
    <xf numFmtId="1" fontId="96" fillId="4" borderId="67" xfId="11" applyNumberFormat="1" applyFont="1" applyBorder="1" applyAlignment="1" applyProtection="1">
      <alignment horizontal="center"/>
      <protection locked="0"/>
    </xf>
    <xf numFmtId="182" fontId="96" fillId="2" borderId="67" xfId="0" applyNumberFormat="1" applyFont="1" applyFill="1" applyBorder="1" applyAlignment="1" applyProtection="1">
      <alignment horizontal="center"/>
      <protection locked="0"/>
    </xf>
    <xf numFmtId="182" fontId="96" fillId="4" borderId="67" xfId="11" applyNumberFormat="1" applyFont="1" applyBorder="1" applyAlignment="1" applyProtection="1">
      <alignment horizontal="center"/>
      <protection locked="0"/>
    </xf>
    <xf numFmtId="182" fontId="91" fillId="0" borderId="1" xfId="0" applyNumberFormat="1" applyFont="1" applyFill="1" applyBorder="1" applyAlignment="1">
      <alignment horizontal="center"/>
    </xf>
    <xf numFmtId="164" fontId="91" fillId="0" borderId="1" xfId="0" applyNumberFormat="1" applyFont="1" applyFill="1" applyBorder="1" applyAlignment="1" applyProtection="1">
      <alignment horizontal="center"/>
    </xf>
    <xf numFmtId="0" fontId="96" fillId="4" borderId="54" xfId="11" applyFont="1" applyBorder="1" applyAlignment="1" applyProtection="1">
      <protection locked="0"/>
    </xf>
    <xf numFmtId="1" fontId="96" fillId="2" borderId="54" xfId="0" applyNumberFormat="1" applyFont="1" applyFill="1" applyBorder="1" applyAlignment="1" applyProtection="1">
      <alignment horizontal="center"/>
      <protection locked="0"/>
    </xf>
    <xf numFmtId="182" fontId="96" fillId="4" borderId="54" xfId="11" applyNumberFormat="1" applyFont="1" applyBorder="1" applyAlignment="1" applyProtection="1">
      <alignment horizontal="center"/>
      <protection locked="0"/>
    </xf>
    <xf numFmtId="1" fontId="96" fillId="4" borderId="55" xfId="11" applyNumberFormat="1" applyFont="1" applyBorder="1" applyAlignment="1" applyProtection="1">
      <alignment horizontal="left"/>
      <protection locked="0"/>
    </xf>
    <xf numFmtId="174" fontId="96" fillId="4" borderId="55" xfId="11" applyNumberFormat="1" applyFont="1" applyBorder="1" applyAlignment="1" applyProtection="1">
      <alignment horizontal="center"/>
      <protection locked="0"/>
    </xf>
    <xf numFmtId="172" fontId="104" fillId="0" borderId="0" xfId="0" applyNumberFormat="1" applyFont="1" applyFill="1" applyBorder="1" applyAlignment="1">
      <alignment horizontal="center"/>
    </xf>
    <xf numFmtId="3" fontId="96" fillId="2" borderId="19" xfId="11" applyNumberFormat="1" applyFont="1" applyFill="1" applyBorder="1" applyAlignment="1" applyProtection="1">
      <alignment horizontal="center"/>
      <protection locked="0"/>
    </xf>
    <xf numFmtId="172" fontId="89" fillId="0" borderId="0" xfId="0" applyNumberFormat="1" applyFont="1" applyFill="1" applyBorder="1" applyAlignment="1">
      <alignment horizontal="center"/>
    </xf>
    <xf numFmtId="0" fontId="92" fillId="0" borderId="0" xfId="0" applyFont="1" applyFill="1" applyBorder="1" applyAlignment="1">
      <alignment horizontal="center" wrapText="1"/>
    </xf>
    <xf numFmtId="0" fontId="91" fillId="0" borderId="70" xfId="0" applyFont="1" applyBorder="1" applyAlignment="1">
      <alignment horizontal="left" indent="1"/>
    </xf>
    <xf numFmtId="0" fontId="104" fillId="0" borderId="0" xfId="0" applyFont="1" applyBorder="1" applyAlignment="1">
      <alignment horizontal="left" indent="1"/>
    </xf>
    <xf numFmtId="0" fontId="119" fillId="0" borderId="0" xfId="33111" applyFill="1" applyBorder="1" applyAlignment="1">
      <alignment horizontal="left" vertical="top"/>
    </xf>
    <xf numFmtId="0" fontId="87" fillId="0" borderId="0" xfId="33111" applyFont="1" applyFill="1" applyBorder="1" applyAlignment="1">
      <alignment horizontal="left" vertical="top"/>
    </xf>
    <xf numFmtId="0" fontId="86" fillId="0" borderId="0" xfId="33111" applyFont="1" applyFill="1" applyBorder="1" applyAlignment="1">
      <alignment horizontal="left" vertical="top"/>
    </xf>
    <xf numFmtId="0" fontId="88" fillId="65" borderId="0" xfId="33111" applyFont="1" applyFill="1" applyBorder="1" applyAlignment="1">
      <alignment horizontal="left" vertical="top"/>
    </xf>
    <xf numFmtId="0" fontId="64" fillId="6" borderId="0" xfId="33111" applyFont="1" applyFill="1" applyBorder="1" applyAlignment="1">
      <alignment horizontal="left" vertical="top"/>
    </xf>
    <xf numFmtId="0" fontId="91" fillId="0" borderId="57" xfId="33111" applyFont="1" applyFill="1" applyBorder="1" applyAlignment="1">
      <alignment horizontal="left" vertical="top" wrapText="1"/>
    </xf>
    <xf numFmtId="172" fontId="91" fillId="0" borderId="57" xfId="33111" applyNumberFormat="1" applyFont="1" applyFill="1" applyBorder="1" applyAlignment="1">
      <alignment horizontal="right" vertical="top" wrapText="1"/>
    </xf>
    <xf numFmtId="0" fontId="91" fillId="0" borderId="57" xfId="33111" applyFont="1" applyFill="1" applyBorder="1" applyAlignment="1">
      <alignment horizontal="right" vertical="top" wrapText="1"/>
    </xf>
    <xf numFmtId="0" fontId="91" fillId="0" borderId="1" xfId="33111" applyFont="1" applyFill="1" applyBorder="1" applyAlignment="1">
      <alignment horizontal="left" vertical="top" wrapText="1"/>
    </xf>
    <xf numFmtId="172" fontId="91" fillId="0" borderId="1" xfId="33111" applyNumberFormat="1" applyFont="1" applyFill="1" applyBorder="1" applyAlignment="1">
      <alignment horizontal="right" vertical="top" wrapText="1"/>
    </xf>
    <xf numFmtId="0" fontId="91" fillId="0" borderId="1" xfId="33111" applyFont="1" applyFill="1" applyBorder="1" applyAlignment="1">
      <alignment horizontal="right" vertical="top" wrapText="1"/>
    </xf>
    <xf numFmtId="0" fontId="121" fillId="0" borderId="0" xfId="33111" applyFont="1" applyFill="1" applyBorder="1" applyAlignment="1">
      <alignment vertical="top" wrapText="1"/>
    </xf>
    <xf numFmtId="192" fontId="90" fillId="0" borderId="82" xfId="33111" applyNumberFormat="1" applyFont="1" applyFill="1" applyBorder="1" applyAlignment="1">
      <alignment horizontal="right" vertical="top" wrapText="1"/>
    </xf>
    <xf numFmtId="0" fontId="90" fillId="0" borderId="83" xfId="33111" applyFont="1" applyFill="1" applyBorder="1" applyAlignment="1">
      <alignment horizontal="left" vertical="top" wrapText="1"/>
    </xf>
    <xf numFmtId="0" fontId="91" fillId="0" borderId="57" xfId="33111" applyFont="1" applyFill="1" applyBorder="1" applyAlignment="1">
      <alignment vertical="top" wrapText="1"/>
    </xf>
    <xf numFmtId="172" fontId="91" fillId="0" borderId="57" xfId="33111" applyNumberFormat="1" applyFont="1" applyFill="1" applyBorder="1" applyAlignment="1">
      <alignment vertical="top" wrapText="1"/>
    </xf>
    <xf numFmtId="0" fontId="91" fillId="68" borderId="77" xfId="33111" applyFont="1" applyFill="1" applyBorder="1" applyAlignment="1">
      <alignment vertical="center" wrapText="1"/>
    </xf>
    <xf numFmtId="172" fontId="91" fillId="68" borderId="77" xfId="33111" applyNumberFormat="1" applyFont="1" applyFill="1" applyBorder="1" applyAlignment="1">
      <alignment vertical="center" wrapText="1"/>
    </xf>
    <xf numFmtId="172" fontId="91" fillId="68" borderId="79" xfId="33111" applyNumberFormat="1" applyFont="1" applyFill="1" applyBorder="1" applyAlignment="1">
      <alignment vertical="center" wrapText="1"/>
    </xf>
    <xf numFmtId="0" fontId="91" fillId="0" borderId="84" xfId="33111" applyFont="1" applyFill="1" applyBorder="1" applyAlignment="1">
      <alignment horizontal="left" vertical="top" wrapText="1"/>
    </xf>
    <xf numFmtId="0" fontId="91" fillId="0" borderId="85" xfId="33111" applyFont="1" applyFill="1" applyBorder="1" applyAlignment="1">
      <alignment vertical="top" wrapText="1"/>
    </xf>
    <xf numFmtId="0" fontId="91" fillId="0" borderId="80" xfId="33111" applyFont="1" applyFill="1" applyBorder="1" applyAlignment="1">
      <alignment horizontal="left" vertical="top" wrapText="1"/>
    </xf>
    <xf numFmtId="0" fontId="91" fillId="0" borderId="81" xfId="33111" applyFont="1" applyFill="1" applyBorder="1" applyAlignment="1">
      <alignment vertical="top" wrapText="1"/>
    </xf>
    <xf numFmtId="0" fontId="64" fillId="62" borderId="78" xfId="33111" applyFont="1" applyFill="1" applyBorder="1" applyAlignment="1">
      <alignment horizontal="left" vertical="top" wrapText="1"/>
    </xf>
    <xf numFmtId="0" fontId="91" fillId="68" borderId="88" xfId="33111" applyFont="1" applyFill="1" applyBorder="1" applyAlignment="1">
      <alignment vertical="center" wrapText="1"/>
    </xf>
    <xf numFmtId="0" fontId="64" fillId="62" borderId="89" xfId="33111" applyFont="1" applyFill="1" applyBorder="1" applyAlignment="1">
      <alignment horizontal="center" vertical="top" wrapText="1"/>
    </xf>
    <xf numFmtId="0" fontId="64" fillId="62" borderId="90" xfId="33111" applyFont="1" applyFill="1" applyBorder="1" applyAlignment="1">
      <alignment horizontal="center" vertical="top" wrapText="1"/>
    </xf>
    <xf numFmtId="0" fontId="64" fillId="62" borderId="91" xfId="33111" applyFont="1" applyFill="1" applyBorder="1" applyAlignment="1">
      <alignment horizontal="center" vertical="top" wrapText="1"/>
    </xf>
    <xf numFmtId="181" fontId="91" fillId="68" borderId="77" xfId="33111" applyNumberFormat="1" applyFont="1" applyFill="1" applyBorder="1" applyAlignment="1">
      <alignment vertical="center" wrapText="1"/>
    </xf>
    <xf numFmtId="0" fontId="122" fillId="0" borderId="55" xfId="33111" applyFont="1" applyFill="1" applyBorder="1" applyAlignment="1">
      <alignment horizontal="center" vertical="top"/>
    </xf>
    <xf numFmtId="0" fontId="120" fillId="0" borderId="0" xfId="33111" applyFont="1" applyFill="1" applyBorder="1" applyAlignment="1">
      <alignment horizontal="left" vertical="top" wrapText="1"/>
    </xf>
    <xf numFmtId="172" fontId="122" fillId="0" borderId="55" xfId="33111" applyNumberFormat="1" applyFont="1" applyFill="1" applyBorder="1" applyAlignment="1">
      <alignment horizontal="center" vertical="top"/>
    </xf>
    <xf numFmtId="0" fontId="123" fillId="0" borderId="0" xfId="33111" applyFont="1" applyFill="1" applyBorder="1" applyAlignment="1">
      <alignment horizontal="left" vertical="top"/>
    </xf>
    <xf numFmtId="181" fontId="89" fillId="0" borderId="86" xfId="33111" applyNumberFormat="1" applyFont="1" applyFill="1" applyBorder="1" applyAlignment="1">
      <alignment horizontal="right" vertical="top" wrapText="1"/>
    </xf>
    <xf numFmtId="0" fontId="89" fillId="0" borderId="87" xfId="33111" applyFont="1" applyFill="1" applyBorder="1" applyAlignment="1">
      <alignment horizontal="left" vertical="top" wrapText="1"/>
    </xf>
    <xf numFmtId="0" fontId="94" fillId="0" borderId="0" xfId="8" applyFont="1" applyAlignment="1" applyProtection="1">
      <alignment horizontal="center"/>
    </xf>
    <xf numFmtId="175" fontId="91" fillId="0" borderId="0" xfId="0" applyNumberFormat="1" applyFont="1" applyFill="1"/>
    <xf numFmtId="0" fontId="104" fillId="68" borderId="0" xfId="0" applyFont="1" applyFill="1" applyProtection="1"/>
    <xf numFmtId="0" fontId="92" fillId="68" borderId="0" xfId="0" applyFont="1" applyFill="1" applyProtection="1"/>
    <xf numFmtId="0" fontId="92" fillId="0" borderId="0" xfId="0" applyFont="1" applyBorder="1" applyAlignment="1" applyProtection="1">
      <alignment horizontal="center"/>
    </xf>
    <xf numFmtId="0" fontId="91" fillId="62" borderId="57" xfId="0" applyFont="1" applyFill="1" applyBorder="1" applyAlignment="1">
      <alignment horizontal="center" wrapText="1"/>
    </xf>
    <xf numFmtId="0" fontId="91" fillId="62" borderId="57" xfId="0" applyFont="1" applyFill="1" applyBorder="1"/>
    <xf numFmtId="0" fontId="92" fillId="0" borderId="78" xfId="33111" applyFont="1" applyFill="1" applyBorder="1" applyAlignment="1">
      <alignment horizontal="left" vertical="center" wrapText="1"/>
    </xf>
    <xf numFmtId="0" fontId="91" fillId="0" borderId="78" xfId="33111" applyFont="1" applyFill="1" applyBorder="1" applyAlignment="1">
      <alignment horizontal="left" vertical="center" wrapText="1"/>
    </xf>
    <xf numFmtId="0" fontId="91" fillId="0" borderId="92" xfId="33111" applyFont="1" applyFill="1" applyBorder="1" applyAlignment="1">
      <alignment horizontal="left" vertical="center" wrapText="1"/>
    </xf>
    <xf numFmtId="0" fontId="91" fillId="68" borderId="93" xfId="33111" applyFont="1" applyFill="1" applyBorder="1" applyAlignment="1">
      <alignment vertical="center" wrapText="1"/>
    </xf>
    <xf numFmtId="0" fontId="91" fillId="0" borderId="94" xfId="33111" applyFont="1" applyFill="1" applyBorder="1" applyAlignment="1">
      <alignment vertical="center" wrapText="1"/>
    </xf>
    <xf numFmtId="0" fontId="91" fillId="68" borderId="95" xfId="33111" applyFont="1" applyFill="1" applyBorder="1" applyAlignment="1">
      <alignment vertical="center" wrapText="1"/>
    </xf>
    <xf numFmtId="0" fontId="91" fillId="0" borderId="96" xfId="33111" applyFont="1" applyFill="1" applyBorder="1" applyAlignment="1">
      <alignment vertical="center" wrapText="1"/>
    </xf>
    <xf numFmtId="172" fontId="91" fillId="0" borderId="96" xfId="33111" applyNumberFormat="1" applyFont="1" applyFill="1" applyBorder="1" applyAlignment="1">
      <alignment vertical="center" wrapText="1"/>
    </xf>
    <xf numFmtId="172" fontId="90" fillId="0" borderId="96" xfId="33111" quotePrefix="1" applyNumberFormat="1" applyFont="1" applyFill="1" applyBorder="1" applyAlignment="1">
      <alignment vertical="center" wrapText="1"/>
    </xf>
    <xf numFmtId="0" fontId="91" fillId="68" borderId="97" xfId="33111" applyFont="1" applyFill="1" applyBorder="1" applyAlignment="1">
      <alignment vertical="center" wrapText="1"/>
    </xf>
    <xf numFmtId="0" fontId="91" fillId="0" borderId="59" xfId="33111" applyFont="1" applyFill="1" applyBorder="1" applyAlignment="1">
      <alignment vertical="top" wrapText="1"/>
    </xf>
    <xf numFmtId="0" fontId="91" fillId="0" borderId="58" xfId="33111" applyFont="1" applyFill="1" applyBorder="1" applyAlignment="1">
      <alignment vertical="top" wrapText="1"/>
    </xf>
    <xf numFmtId="0" fontId="91" fillId="0" borderId="16" xfId="33111" applyFont="1" applyFill="1" applyBorder="1" applyAlignment="1">
      <alignment horizontal="left" vertical="center"/>
    </xf>
    <xf numFmtId="0" fontId="91" fillId="0" borderId="95" xfId="33111" applyFont="1" applyFill="1" applyBorder="1" applyAlignment="1">
      <alignment horizontal="right" vertical="center" wrapText="1"/>
    </xf>
    <xf numFmtId="0" fontId="91" fillId="0" borderId="71" xfId="33111" applyFont="1" applyFill="1" applyBorder="1" applyAlignment="1">
      <alignment horizontal="left" vertical="center"/>
    </xf>
    <xf numFmtId="172" fontId="91" fillId="0" borderId="71" xfId="33111" applyNumberFormat="1" applyFont="1" applyFill="1" applyBorder="1" applyAlignment="1">
      <alignment horizontal="right" vertical="center"/>
    </xf>
    <xf numFmtId="0" fontId="96" fillId="0" borderId="95" xfId="33111" applyFont="1" applyFill="1" applyBorder="1" applyAlignment="1">
      <alignment horizontal="right" vertical="center" wrapText="1"/>
    </xf>
    <xf numFmtId="181" fontId="91" fillId="0" borderId="96" xfId="33111" applyNumberFormat="1" applyFont="1" applyFill="1" applyBorder="1" applyAlignment="1">
      <alignment horizontal="right" vertical="center" wrapText="1"/>
    </xf>
    <xf numFmtId="172" fontId="91" fillId="0" borderId="96" xfId="33111" applyNumberFormat="1" applyFont="1" applyFill="1" applyBorder="1" applyAlignment="1">
      <alignment horizontal="right" vertical="center" wrapText="1"/>
    </xf>
    <xf numFmtId="172" fontId="91" fillId="0" borderId="102" xfId="33111" applyNumberFormat="1" applyFont="1" applyFill="1" applyBorder="1" applyAlignment="1">
      <alignment horizontal="right" vertical="center" wrapText="1"/>
    </xf>
    <xf numFmtId="0" fontId="91" fillId="0" borderId="96" xfId="33111" applyFont="1" applyFill="1" applyBorder="1" applyAlignment="1">
      <alignment horizontal="right" vertical="center" wrapText="1"/>
    </xf>
    <xf numFmtId="0" fontId="91" fillId="0" borderId="75" xfId="33111" applyFont="1" applyFill="1" applyBorder="1" applyAlignment="1">
      <alignment horizontal="right" vertical="center" wrapText="1"/>
    </xf>
    <xf numFmtId="0" fontId="91" fillId="0" borderId="71" xfId="33111" applyFont="1" applyFill="1" applyBorder="1" applyAlignment="1">
      <alignment horizontal="right" vertical="center" wrapText="1"/>
    </xf>
    <xf numFmtId="0" fontId="91" fillId="0" borderId="1" xfId="33111" applyFont="1" applyFill="1" applyBorder="1" applyAlignment="1">
      <alignment vertical="top" wrapText="1"/>
    </xf>
    <xf numFmtId="0" fontId="119" fillId="0" borderId="1" xfId="33111" applyFont="1" applyFill="1" applyBorder="1" applyAlignment="1">
      <alignment horizontal="left" vertical="top"/>
    </xf>
    <xf numFmtId="0" fontId="91" fillId="0" borderId="15" xfId="33111" quotePrefix="1" applyFont="1" applyFill="1" applyBorder="1" applyAlignment="1">
      <alignment vertical="top" wrapText="1"/>
    </xf>
    <xf numFmtId="172" fontId="91" fillId="0" borderId="1" xfId="33111" quotePrefix="1" applyNumberFormat="1" applyFont="1" applyFill="1" applyBorder="1" applyAlignment="1">
      <alignment vertical="top" wrapText="1"/>
    </xf>
    <xf numFmtId="174" fontId="96" fillId="4" borderId="3" xfId="11" applyNumberFormat="1" applyFont="1" applyAlignment="1" applyProtection="1">
      <alignment horizontal="right"/>
      <protection locked="0"/>
    </xf>
    <xf numFmtId="174" fontId="91" fillId="0" borderId="0" xfId="0" applyNumberFormat="1" applyFont="1" applyAlignment="1" applyProtection="1">
      <alignment horizontal="right"/>
    </xf>
    <xf numFmtId="172" fontId="91" fillId="0" borderId="0" xfId="0" applyNumberFormat="1" applyFont="1" applyAlignment="1" applyProtection="1">
      <alignment horizontal="right"/>
    </xf>
    <xf numFmtId="0" fontId="92" fillId="62" borderId="1" xfId="0" applyFont="1" applyFill="1" applyBorder="1" applyProtection="1"/>
    <xf numFmtId="0" fontId="91" fillId="62" borderId="1" xfId="0" applyFont="1" applyFill="1" applyBorder="1" applyProtection="1"/>
    <xf numFmtId="3" fontId="92" fillId="62" borderId="1" xfId="11" applyNumberFormat="1" applyFont="1" applyFill="1" applyBorder="1" applyAlignment="1" applyProtection="1">
      <alignment horizontal="center"/>
    </xf>
    <xf numFmtId="174" fontId="104" fillId="64" borderId="57" xfId="0" applyNumberFormat="1" applyFont="1" applyFill="1" applyBorder="1" applyProtection="1"/>
    <xf numFmtId="0" fontId="0" fillId="68" borderId="0" xfId="0" applyFill="1"/>
    <xf numFmtId="172" fontId="96" fillId="0" borderId="0" xfId="0" applyNumberFormat="1" applyFont="1" applyFill="1" applyAlignment="1" applyProtection="1">
      <alignment horizontal="right"/>
    </xf>
    <xf numFmtId="172" fontId="96" fillId="0" borderId="0" xfId="0" applyNumberFormat="1" applyFont="1" applyFill="1" applyProtection="1"/>
    <xf numFmtId="172" fontId="90" fillId="0" borderId="0" xfId="0" applyNumberFormat="1" applyFont="1" applyFill="1" applyProtection="1"/>
    <xf numFmtId="172" fontId="90" fillId="0" borderId="47" xfId="0" applyNumberFormat="1" applyFont="1" applyFill="1" applyBorder="1"/>
    <xf numFmtId="10" fontId="125" fillId="0" borderId="0" xfId="8" applyNumberFormat="1" applyFont="1" applyFill="1" applyAlignment="1" applyProtection="1">
      <alignment horizontal="center"/>
    </xf>
    <xf numFmtId="0" fontId="113" fillId="65" borderId="0" xfId="0" quotePrefix="1" applyFont="1" applyFill="1" applyProtection="1"/>
    <xf numFmtId="0" fontId="92" fillId="0" borderId="0" xfId="0" applyFont="1" applyFill="1" applyBorder="1" applyAlignment="1" applyProtection="1">
      <alignment horizontal="left"/>
    </xf>
    <xf numFmtId="0" fontId="124" fillId="0" borderId="0" xfId="0" applyFont="1" applyFill="1" applyProtection="1"/>
    <xf numFmtId="0" fontId="91" fillId="0" borderId="0" xfId="0" applyFont="1" applyFill="1" applyBorder="1" applyAlignment="1" applyProtection="1">
      <alignment horizontal="left"/>
    </xf>
    <xf numFmtId="0" fontId="91" fillId="0" borderId="0" xfId="0" applyFont="1" applyAlignment="1" applyProtection="1">
      <alignment horizontal="left" indent="1"/>
    </xf>
    <xf numFmtId="0" fontId="92" fillId="0" borderId="0" xfId="0" applyFont="1" applyAlignment="1" applyProtection="1">
      <alignment horizontal="right"/>
    </xf>
    <xf numFmtId="0" fontId="92" fillId="0" borderId="0" xfId="0" applyFont="1" applyFill="1" applyBorder="1" applyAlignment="1" applyProtection="1">
      <alignment horizontal="center" vertical="top"/>
    </xf>
    <xf numFmtId="0" fontId="92" fillId="0" borderId="0" xfId="0" applyFont="1" applyFill="1" applyAlignment="1" applyProtection="1">
      <alignment horizontal="center"/>
    </xf>
    <xf numFmtId="0" fontId="107" fillId="0" borderId="57" xfId="0" applyFont="1" applyFill="1" applyBorder="1" applyAlignment="1" applyProtection="1">
      <alignment horizontal="center" vertical="top"/>
    </xf>
    <xf numFmtId="0" fontId="104" fillId="0" borderId="1" xfId="0" applyFont="1" applyFill="1" applyBorder="1" applyAlignment="1" applyProtection="1">
      <alignment horizontal="center" vertical="top"/>
    </xf>
    <xf numFmtId="174" fontId="91" fillId="0" borderId="0" xfId="0" applyNumberFormat="1" applyFont="1" applyFill="1" applyBorder="1" applyAlignment="1" applyProtection="1">
      <alignment horizontal="center" vertical="top"/>
    </xf>
    <xf numFmtId="0" fontId="96" fillId="0" borderId="0" xfId="0" applyFont="1" applyFill="1" applyBorder="1" applyProtection="1"/>
    <xf numFmtId="175" fontId="96" fillId="0" borderId="0" xfId="0" applyNumberFormat="1" applyFont="1" applyFill="1" applyBorder="1" applyProtection="1"/>
    <xf numFmtId="0" fontId="91" fillId="0" borderId="0" xfId="0" applyFont="1" applyFill="1" applyBorder="1" applyAlignment="1" applyProtection="1">
      <alignment horizontal="center" vertical="top"/>
    </xf>
    <xf numFmtId="172" fontId="91" fillId="0" borderId="0" xfId="0" applyNumberFormat="1" applyFont="1" applyFill="1" applyBorder="1" applyAlignment="1" applyProtection="1">
      <alignment horizontal="center" vertical="top"/>
    </xf>
    <xf numFmtId="0" fontId="105" fillId="3" borderId="0" xfId="0" applyFont="1" applyFill="1" applyBorder="1" applyProtection="1"/>
    <xf numFmtId="0" fontId="92" fillId="3" borderId="0" xfId="0" applyFont="1" applyFill="1" applyBorder="1" applyAlignment="1" applyProtection="1">
      <alignment horizontal="center"/>
    </xf>
    <xf numFmtId="9" fontId="91" fillId="3" borderId="0" xfId="9" applyFont="1" applyFill="1" applyBorder="1" applyAlignment="1" applyProtection="1">
      <alignment horizontal="center" vertical="top"/>
    </xf>
    <xf numFmtId="0" fontId="96" fillId="2" borderId="51" xfId="0" applyFont="1" applyFill="1" applyBorder="1" applyProtection="1">
      <protection locked="0"/>
    </xf>
    <xf numFmtId="0" fontId="96" fillId="2" borderId="55" xfId="0" applyFont="1" applyFill="1" applyBorder="1" applyAlignment="1" applyProtection="1">
      <alignment horizontal="center"/>
      <protection locked="0"/>
    </xf>
    <xf numFmtId="0" fontId="96" fillId="2" borderId="55" xfId="0" applyFont="1" applyFill="1" applyBorder="1" applyAlignment="1" applyProtection="1">
      <alignment horizontal="center" vertical="center"/>
      <protection locked="0"/>
    </xf>
    <xf numFmtId="172" fontId="96" fillId="2" borderId="71" xfId="0" applyNumberFormat="1" applyFont="1" applyFill="1" applyBorder="1" applyAlignment="1" applyProtection="1">
      <alignment horizontal="center" vertical="center"/>
      <protection locked="0"/>
    </xf>
    <xf numFmtId="172" fontId="96" fillId="2" borderId="47" xfId="0" applyNumberFormat="1" applyFont="1" applyFill="1" applyBorder="1" applyProtection="1">
      <protection locked="0"/>
    </xf>
    <xf numFmtId="0" fontId="96" fillId="2" borderId="47" xfId="0" applyFont="1" applyFill="1" applyBorder="1" applyAlignment="1" applyProtection="1">
      <alignment vertical="center"/>
      <protection locked="0"/>
    </xf>
    <xf numFmtId="172" fontId="96" fillId="2" borderId="50" xfId="0" applyNumberFormat="1" applyFont="1" applyFill="1" applyBorder="1" applyProtection="1">
      <protection locked="0"/>
    </xf>
    <xf numFmtId="0" fontId="91" fillId="0" borderId="66" xfId="0" applyFont="1" applyFill="1" applyBorder="1" applyAlignment="1" applyProtection="1">
      <alignment horizontal="center" vertical="top"/>
    </xf>
    <xf numFmtId="0" fontId="91" fillId="0" borderId="47" xfId="0" applyFont="1" applyFill="1" applyBorder="1" applyProtection="1"/>
    <xf numFmtId="0" fontId="115" fillId="0" borderId="0" xfId="0" applyFont="1" applyFill="1" applyBorder="1" applyAlignment="1" applyProtection="1">
      <alignment horizontal="center" vertical="top"/>
    </xf>
    <xf numFmtId="174" fontId="96" fillId="2" borderId="57" xfId="33110" applyNumberFormat="1" applyFont="1" applyFill="1" applyBorder="1" applyProtection="1">
      <protection locked="0"/>
    </xf>
    <xf numFmtId="172" fontId="96" fillId="2" borderId="47" xfId="33110" applyNumberFormat="1" applyFont="1" applyFill="1" applyBorder="1" applyProtection="1">
      <protection locked="0"/>
    </xf>
    <xf numFmtId="172" fontId="91" fillId="2" borderId="1" xfId="33110" applyNumberFormat="1" applyFont="1" applyFill="1" applyBorder="1" applyProtection="1">
      <protection locked="0"/>
    </xf>
    <xf numFmtId="0" fontId="119" fillId="0" borderId="0" xfId="33111" applyFill="1" applyBorder="1" applyAlignment="1" applyProtection="1">
      <alignment horizontal="left" vertical="top"/>
    </xf>
    <xf numFmtId="0" fontId="96" fillId="2" borderId="95" xfId="33111" applyFont="1" applyFill="1" applyBorder="1" applyAlignment="1" applyProtection="1">
      <alignment horizontal="right" vertical="center" wrapText="1"/>
      <protection locked="0"/>
    </xf>
    <xf numFmtId="193" fontId="96" fillId="2" borderId="95" xfId="33111" applyNumberFormat="1" applyFont="1" applyFill="1" applyBorder="1" applyAlignment="1" applyProtection="1">
      <alignment horizontal="right" vertical="center" wrapText="1"/>
      <protection locked="0"/>
    </xf>
    <xf numFmtId="181" fontId="91" fillId="2" borderId="96" xfId="33111" applyNumberFormat="1" applyFont="1" applyFill="1" applyBorder="1" applyAlignment="1" applyProtection="1">
      <alignment vertical="center" wrapText="1"/>
      <protection locked="0"/>
    </xf>
    <xf numFmtId="172" fontId="90" fillId="2" borderId="96" xfId="33111" applyNumberFormat="1" applyFont="1" applyFill="1" applyBorder="1" applyAlignment="1" applyProtection="1">
      <alignment vertical="center" wrapText="1"/>
      <protection locked="0"/>
    </xf>
    <xf numFmtId="172" fontId="96" fillId="2" borderId="95" xfId="33111" applyNumberFormat="1" applyFont="1" applyFill="1" applyBorder="1" applyAlignment="1" applyProtection="1">
      <alignment horizontal="right" vertical="center" wrapText="1"/>
      <protection locked="0"/>
    </xf>
    <xf numFmtId="0" fontId="96" fillId="2" borderId="95" xfId="33111" applyFont="1" applyFill="1" applyBorder="1" applyAlignment="1" applyProtection="1">
      <alignment vertical="center" wrapText="1"/>
      <protection locked="0"/>
    </xf>
    <xf numFmtId="191" fontId="96" fillId="2" borderId="95" xfId="33111" applyNumberFormat="1" applyFont="1" applyFill="1" applyBorder="1" applyAlignment="1" applyProtection="1">
      <alignment vertical="center" wrapText="1"/>
      <protection locked="0"/>
    </xf>
    <xf numFmtId="0" fontId="96" fillId="2" borderId="101" xfId="33111" applyFont="1" applyFill="1" applyBorder="1" applyAlignment="1" applyProtection="1">
      <alignment vertical="center" wrapText="1"/>
      <protection locked="0"/>
    </xf>
    <xf numFmtId="172" fontId="90" fillId="2" borderId="98" xfId="33111" applyNumberFormat="1" applyFont="1" applyFill="1" applyBorder="1" applyAlignment="1" applyProtection="1">
      <alignment vertical="center" wrapText="1"/>
      <protection locked="0"/>
    </xf>
    <xf numFmtId="0" fontId="96" fillId="2" borderId="75" xfId="33111" applyFont="1" applyFill="1" applyBorder="1" applyAlignment="1" applyProtection="1">
      <alignment horizontal="right" vertical="center" wrapText="1"/>
      <protection locked="0"/>
    </xf>
    <xf numFmtId="193" fontId="96" fillId="2" borderId="75" xfId="33111" applyNumberFormat="1" applyFont="1" applyFill="1" applyBorder="1" applyAlignment="1" applyProtection="1">
      <alignment horizontal="right" vertical="center" wrapText="1"/>
      <protection locked="0"/>
    </xf>
    <xf numFmtId="0" fontId="96" fillId="2" borderId="101" xfId="33111" applyFont="1" applyFill="1" applyBorder="1" applyAlignment="1" applyProtection="1">
      <alignment horizontal="right" vertical="center" wrapText="1"/>
      <protection locked="0"/>
    </xf>
    <xf numFmtId="173" fontId="96" fillId="2" borderId="95" xfId="33111" applyNumberFormat="1" applyFont="1" applyFill="1" applyBorder="1" applyAlignment="1" applyProtection="1">
      <alignment horizontal="right" vertical="center" wrapText="1"/>
      <protection locked="0"/>
    </xf>
    <xf numFmtId="173" fontId="96" fillId="2" borderId="101" xfId="33111" applyNumberFormat="1" applyFont="1" applyFill="1" applyBorder="1" applyAlignment="1" applyProtection="1">
      <alignment horizontal="right" vertical="center" wrapText="1"/>
      <protection locked="0"/>
    </xf>
    <xf numFmtId="172" fontId="96" fillId="2" borderId="75" xfId="33111" applyNumberFormat="1" applyFont="1" applyFill="1" applyBorder="1" applyAlignment="1" applyProtection="1">
      <alignment horizontal="right" vertical="center" wrapText="1"/>
      <protection locked="0"/>
    </xf>
    <xf numFmtId="175" fontId="96" fillId="2" borderId="14" xfId="33111" quotePrefix="1" applyNumberFormat="1" applyFont="1" applyFill="1" applyBorder="1" applyAlignment="1" applyProtection="1">
      <alignment vertical="top" wrapText="1"/>
      <protection locked="0"/>
    </xf>
    <xf numFmtId="172" fontId="96" fillId="2" borderId="55"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Fill="1" applyBorder="1" applyAlignment="1" applyProtection="1">
      <alignment horizontal="center" vertical="top"/>
    </xf>
    <xf numFmtId="172" fontId="90" fillId="0" borderId="61" xfId="0" applyNumberFormat="1" applyFont="1" applyFill="1" applyBorder="1" applyAlignment="1" applyProtection="1">
      <alignment horizontal="center" vertical="top"/>
    </xf>
    <xf numFmtId="172" fontId="90" fillId="0" borderId="62" xfId="0" applyNumberFormat="1" applyFont="1" applyFill="1" applyBorder="1" applyAlignment="1" applyProtection="1">
      <alignment horizontal="center" vertical="top"/>
    </xf>
    <xf numFmtId="0" fontId="91" fillId="3" borderId="0" xfId="0" applyFont="1" applyFill="1" applyBorder="1" applyAlignment="1" applyProtection="1">
      <alignment horizontal="left"/>
    </xf>
    <xf numFmtId="174" fontId="91" fillId="0" borderId="0" xfId="0" applyNumberFormat="1" applyFont="1" applyFill="1" applyBorder="1" applyProtection="1"/>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182" fontId="96" fillId="0" borderId="0" xfId="0" applyNumberFormat="1" applyFont="1" applyFill="1" applyBorder="1" applyAlignment="1" applyProtection="1">
      <alignment horizontal="center"/>
    </xf>
    <xf numFmtId="172" fontId="96" fillId="0" borderId="0" xfId="11" applyNumberFormat="1" applyFont="1" applyFill="1" applyBorder="1" applyAlignment="1" applyProtection="1">
      <alignment horizontal="right"/>
    </xf>
    <xf numFmtId="182" fontId="96" fillId="0" borderId="0" xfId="11" applyNumberFormat="1" applyFont="1" applyFill="1" applyBorder="1" applyAlignment="1" applyProtection="1">
      <alignment horizontal="center"/>
    </xf>
    <xf numFmtId="174" fontId="92" fillId="0" borderId="0" xfId="0" applyNumberFormat="1" applyFont="1" applyFill="1" applyBorder="1" applyAlignment="1" applyProtection="1">
      <alignment horizontal="right"/>
    </xf>
    <xf numFmtId="3" fontId="92" fillId="0" borderId="0" xfId="0" applyNumberFormat="1" applyFont="1" applyFill="1" applyBorder="1" applyAlignment="1" applyProtection="1">
      <alignment horizontal="center"/>
    </xf>
    <xf numFmtId="172" fontId="90" fillId="0" borderId="60" xfId="0" applyNumberFormat="1" applyFont="1" applyFill="1" applyBorder="1" applyAlignment="1" applyProtection="1">
      <alignment horizontal="center" vertical="top"/>
    </xf>
    <xf numFmtId="172" fontId="90" fillId="2" borderId="45" xfId="0" applyNumberFormat="1" applyFont="1" applyFill="1" applyBorder="1" applyAlignment="1" applyProtection="1">
      <alignment horizontal="center" vertical="top"/>
    </xf>
    <xf numFmtId="0" fontId="104" fillId="0" borderId="0" xfId="0" applyFont="1" applyFill="1" applyBorder="1" applyAlignment="1" applyProtection="1">
      <alignment horizontal="center" vertical="top"/>
    </xf>
    <xf numFmtId="188" fontId="104" fillId="0" borderId="0" xfId="0" applyNumberFormat="1" applyFont="1" applyFill="1" applyBorder="1" applyAlignment="1" applyProtection="1">
      <alignment horizontal="center" vertical="top"/>
    </xf>
    <xf numFmtId="0" fontId="90" fillId="0" borderId="0" xfId="0" applyFont="1" applyFill="1" applyBorder="1" applyAlignment="1" applyProtection="1">
      <alignment horizontal="center" vertical="top"/>
    </xf>
    <xf numFmtId="172" fontId="92" fillId="3" borderId="0" xfId="0" applyNumberFormat="1" applyFont="1" applyFill="1" applyBorder="1" applyAlignment="1" applyProtection="1">
      <alignment horizontal="center"/>
    </xf>
    <xf numFmtId="172" fontId="90" fillId="0" borderId="45" xfId="0" applyNumberFormat="1" applyFont="1" applyFill="1" applyBorder="1" applyAlignment="1" applyProtection="1">
      <alignment horizontal="center" vertical="top"/>
    </xf>
    <xf numFmtId="172" fontId="90" fillId="0" borderId="41" xfId="0" applyNumberFormat="1" applyFont="1" applyFill="1" applyBorder="1" applyAlignment="1" applyProtection="1">
      <alignment horizontal="center" vertical="top"/>
    </xf>
    <xf numFmtId="172" fontId="90" fillId="0" borderId="46" xfId="0" applyNumberFormat="1" applyFont="1" applyFill="1" applyBorder="1" applyAlignment="1" applyProtection="1">
      <alignment horizontal="center" vertical="top"/>
    </xf>
    <xf numFmtId="0" fontId="96" fillId="2" borderId="47" xfId="0" applyFont="1" applyFill="1" applyBorder="1" applyAlignment="1" applyProtection="1">
      <alignment horizontal="center"/>
      <protection locked="0"/>
    </xf>
    <xf numFmtId="49" fontId="96" fillId="2" borderId="47" xfId="0" applyNumberFormat="1" applyFont="1" applyFill="1" applyBorder="1" applyAlignment="1" applyProtection="1">
      <alignment horizontal="center"/>
      <protection locked="0"/>
    </xf>
    <xf numFmtId="0" fontId="101" fillId="2" borderId="55" xfId="0" applyFont="1" applyFill="1" applyBorder="1" applyAlignment="1" applyProtection="1">
      <alignment horizontal="center"/>
      <protection locked="0"/>
    </xf>
    <xf numFmtId="186" fontId="96" fillId="2" borderId="51" xfId="7" applyNumberFormat="1" applyFont="1" applyFill="1" applyBorder="1" applyAlignment="1" applyProtection="1">
      <alignment horizontal="center" wrapText="1"/>
      <protection locked="0"/>
    </xf>
    <xf numFmtId="0" fontId="96" fillId="2" borderId="0" xfId="0" applyFont="1" applyFill="1" applyAlignment="1">
      <alignment wrapText="1"/>
    </xf>
    <xf numFmtId="0" fontId="0" fillId="68" borderId="0" xfId="0" applyFill="1" applyAlignment="1">
      <alignment wrapText="1"/>
    </xf>
    <xf numFmtId="0" fontId="126" fillId="68" borderId="0" xfId="0" applyFont="1" applyFill="1"/>
    <xf numFmtId="0" fontId="88" fillId="65" borderId="0" xfId="6628" applyFont="1" applyFill="1"/>
    <xf numFmtId="0" fontId="91" fillId="3" borderId="66" xfId="0" applyFont="1" applyFill="1" applyBorder="1" applyProtection="1"/>
    <xf numFmtId="0" fontId="91" fillId="0" borderId="0" xfId="0" applyFont="1" applyProtection="1">
      <protection locked="0"/>
    </xf>
    <xf numFmtId="0" fontId="64" fillId="69" borderId="0" xfId="6628" applyFont="1" applyFill="1"/>
    <xf numFmtId="172" fontId="91" fillId="0" borderId="0" xfId="0" applyNumberFormat="1" applyFont="1" applyFill="1" applyBorder="1" applyAlignment="1" applyProtection="1">
      <alignment horizontal="center"/>
    </xf>
    <xf numFmtId="172" fontId="91" fillId="0" borderId="57" xfId="0" applyNumberFormat="1" applyFont="1" applyFill="1" applyBorder="1" applyAlignment="1" applyProtection="1">
      <alignment horizontal="center"/>
    </xf>
    <xf numFmtId="165" fontId="91" fillId="0" borderId="0" xfId="0" applyNumberFormat="1" applyFont="1" applyFill="1" applyAlignment="1" applyProtection="1">
      <alignment horizontal="center" vertical="top"/>
    </xf>
    <xf numFmtId="165" fontId="91" fillId="0" borderId="1" xfId="0" applyNumberFormat="1" applyFont="1" applyFill="1" applyBorder="1" applyAlignment="1" applyProtection="1">
      <alignment horizontal="center" vertical="top"/>
    </xf>
    <xf numFmtId="165" fontId="91" fillId="0" borderId="0" xfId="0" applyNumberFormat="1" applyFont="1" applyAlignment="1" applyProtection="1">
      <alignment horizontal="center" vertical="top"/>
    </xf>
    <xf numFmtId="165" fontId="91" fillId="0" borderId="0" xfId="0" applyNumberFormat="1" applyFont="1" applyProtection="1"/>
    <xf numFmtId="165" fontId="91" fillId="0" borderId="0" xfId="0" applyNumberFormat="1" applyFont="1" applyBorder="1" applyAlignment="1" applyProtection="1">
      <alignment horizontal="center" vertical="top"/>
    </xf>
    <xf numFmtId="164" fontId="91" fillId="0" borderId="0" xfId="0" applyNumberFormat="1" applyFont="1" applyBorder="1" applyAlignment="1" applyProtection="1">
      <alignment horizontal="center"/>
    </xf>
    <xf numFmtId="10" fontId="91" fillId="3" borderId="0" xfId="9" applyNumberFormat="1" applyFont="1" applyFill="1" applyBorder="1" applyAlignment="1" applyProtection="1">
      <alignment horizontal="center"/>
    </xf>
    <xf numFmtId="10" fontId="91" fillId="3" borderId="0" xfId="9" applyNumberFormat="1" applyFont="1" applyFill="1" applyBorder="1" applyAlignment="1" applyProtection="1">
      <alignment horizontal="center" vertical="top"/>
    </xf>
    <xf numFmtId="0" fontId="91" fillId="0" borderId="1" xfId="0" applyFont="1" applyBorder="1" applyAlignment="1" applyProtection="1">
      <alignment horizontal="center"/>
    </xf>
    <xf numFmtId="165" fontId="91" fillId="0" borderId="0" xfId="0" applyNumberFormat="1" applyFont="1" applyBorder="1" applyAlignment="1" applyProtection="1">
      <alignment horizontal="center"/>
    </xf>
    <xf numFmtId="184" fontId="91" fillId="0" borderId="0" xfId="0" applyNumberFormat="1" applyFont="1" applyBorder="1" applyAlignment="1" applyProtection="1">
      <alignment horizontal="center"/>
    </xf>
    <xf numFmtId="174" fontId="92" fillId="0" borderId="6" xfId="0" applyNumberFormat="1" applyFont="1" applyBorder="1" applyAlignment="1" applyProtection="1">
      <alignment horizontal="center"/>
    </xf>
    <xf numFmtId="164" fontId="91" fillId="0" borderId="0" xfId="0" applyNumberFormat="1" applyFont="1" applyFill="1" applyBorder="1" applyAlignment="1" applyProtection="1">
      <alignment horizontal="center"/>
    </xf>
    <xf numFmtId="164" fontId="104" fillId="62" borderId="0" xfId="0" applyNumberFormat="1" applyFont="1" applyFill="1" applyBorder="1" applyAlignment="1" applyProtection="1">
      <alignment horizontal="center"/>
    </xf>
    <xf numFmtId="172" fontId="104" fillId="62" borderId="0" xfId="0" applyNumberFormat="1" applyFont="1" applyFill="1" applyBorder="1" applyAlignment="1" applyProtection="1">
      <alignment horizontal="center"/>
    </xf>
    <xf numFmtId="172" fontId="92" fillId="0" borderId="0" xfId="0" applyNumberFormat="1" applyFont="1" applyFill="1" applyBorder="1" applyAlignment="1">
      <alignment horizontal="center" wrapText="1"/>
    </xf>
    <xf numFmtId="194" fontId="91" fillId="3" borderId="0" xfId="0" quotePrefix="1" applyNumberFormat="1" applyFont="1" applyFill="1" applyBorder="1" applyAlignment="1">
      <alignment horizontal="center"/>
    </xf>
    <xf numFmtId="172" fontId="96" fillId="4" borderId="55" xfId="11" applyNumberFormat="1" applyFont="1" applyBorder="1" applyAlignment="1" applyProtection="1">
      <alignment horizontal="right" vertical="top"/>
      <protection locked="0"/>
    </xf>
    <xf numFmtId="172" fontId="96" fillId="2" borderId="55" xfId="11" applyNumberFormat="1" applyFont="1" applyFill="1" applyBorder="1" applyAlignment="1" applyProtection="1">
      <alignment horizontal="right" vertical="top"/>
      <protection locked="0"/>
    </xf>
    <xf numFmtId="172" fontId="91" fillId="4" borderId="55" xfId="11" applyNumberFormat="1" applyFont="1" applyBorder="1" applyAlignment="1" applyProtection="1">
      <alignment horizontal="right" vertical="top"/>
      <protection locked="0"/>
    </xf>
    <xf numFmtId="1" fontId="96" fillId="0" borderId="0" xfId="0" applyNumberFormat="1" applyFont="1" applyFill="1" applyBorder="1" applyAlignment="1">
      <alignment horizontal="right"/>
    </xf>
    <xf numFmtId="0" fontId="61" fillId="65" borderId="0" xfId="0" applyFont="1" applyFill="1" applyProtection="1">
      <protection locked="0"/>
    </xf>
    <xf numFmtId="0" fontId="91" fillId="0" borderId="1" xfId="0" applyFont="1" applyFill="1" applyBorder="1" applyAlignment="1" applyProtection="1">
      <alignment horizontal="center" vertical="top"/>
    </xf>
    <xf numFmtId="174" fontId="96" fillId="4" borderId="55" xfId="11" applyNumberFormat="1" applyFont="1" applyBorder="1" applyAlignment="1" applyProtection="1">
      <alignment horizontal="right"/>
      <protection locked="0"/>
    </xf>
    <xf numFmtId="172" fontId="91" fillId="2" borderId="55" xfId="0" applyNumberFormat="1" applyFont="1" applyFill="1" applyBorder="1" applyProtection="1">
      <protection locked="0"/>
    </xf>
    <xf numFmtId="0" fontId="97" fillId="0" borderId="0" xfId="8" applyFont="1" applyAlignment="1" applyProtection="1">
      <alignment horizontal="center"/>
    </xf>
    <xf numFmtId="0" fontId="90" fillId="0" borderId="0" xfId="0" quotePrefix="1" applyFont="1"/>
    <xf numFmtId="0" fontId="96" fillId="0" borderId="0" xfId="0" applyFont="1"/>
    <xf numFmtId="0" fontId="92" fillId="0" borderId="0" xfId="0" quotePrefix="1" applyFont="1" applyAlignment="1">
      <alignment horizontal="center"/>
    </xf>
    <xf numFmtId="0" fontId="115" fillId="0" borderId="1" xfId="0" applyFont="1" applyBorder="1"/>
    <xf numFmtId="0" fontId="91" fillId="3" borderId="0" xfId="0" applyFont="1" applyFill="1" applyAlignment="1">
      <alignment wrapText="1"/>
    </xf>
    <xf numFmtId="0" fontId="91" fillId="3" borderId="0" xfId="0" applyFont="1" applyFill="1"/>
    <xf numFmtId="0" fontId="91" fillId="3" borderId="68" xfId="0" applyFont="1" applyFill="1" applyBorder="1"/>
    <xf numFmtId="0" fontId="96" fillId="2" borderId="47" xfId="0" quotePrefix="1" applyFont="1" applyFill="1" applyBorder="1" applyAlignment="1" applyProtection="1">
      <alignment vertical="center"/>
      <protection locked="0"/>
    </xf>
    <xf numFmtId="174" fontId="119" fillId="0" borderId="0" xfId="33111" applyNumberFormat="1" applyFill="1" applyBorder="1" applyAlignment="1">
      <alignment horizontal="right" vertical="top"/>
    </xf>
    <xf numFmtId="0" fontId="128" fillId="0" borderId="0" xfId="33111" applyFont="1" applyFill="1" applyBorder="1" applyAlignment="1">
      <alignment horizontal="left" vertical="top"/>
    </xf>
    <xf numFmtId="187" fontId="128" fillId="2" borderId="0" xfId="33111" applyNumberFormat="1" applyFont="1" applyFill="1" applyBorder="1" applyAlignment="1">
      <alignment horizontal="right" vertical="top"/>
    </xf>
    <xf numFmtId="174" fontId="128" fillId="0" borderId="0" xfId="33111" applyNumberFormat="1" applyFont="1" applyFill="1" applyBorder="1" applyAlignment="1">
      <alignment horizontal="right" vertical="top"/>
    </xf>
    <xf numFmtId="0" fontId="128" fillId="0" borderId="0" xfId="33111" quotePrefix="1" applyFont="1" applyFill="1" applyBorder="1" applyAlignment="1">
      <alignment horizontal="left" vertical="top"/>
    </xf>
    <xf numFmtId="172" fontId="2" fillId="0" borderId="57"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51" xfId="6628" applyNumberFormat="1" applyBorder="1"/>
    <xf numFmtId="172" fontId="2" fillId="0" borderId="67" xfId="6628" applyNumberFormat="1" applyBorder="1"/>
    <xf numFmtId="172" fontId="2" fillId="0" borderId="47" xfId="6628" applyNumberFormat="1" applyBorder="1"/>
    <xf numFmtId="172" fontId="2" fillId="0" borderId="55" xfId="6628" applyNumberFormat="1" applyBorder="1"/>
    <xf numFmtId="172" fontId="2" fillId="0" borderId="47"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7" xfId="0" applyFont="1" applyFill="1" applyBorder="1" applyProtection="1">
      <protection locked="0"/>
    </xf>
    <xf numFmtId="0" fontId="91" fillId="0" borderId="0" xfId="0" quotePrefix="1" applyFont="1" applyFill="1" applyAlignment="1" applyProtection="1"/>
    <xf numFmtId="172" fontId="92" fillId="0" borderId="57" xfId="0" applyNumberFormat="1" applyFont="1" applyBorder="1" applyAlignment="1">
      <alignment horizontal="center" vertical="top"/>
    </xf>
    <xf numFmtId="172" fontId="92" fillId="0" borderId="57" xfId="0" applyNumberFormat="1" applyFont="1" applyFill="1" applyBorder="1" applyAlignment="1">
      <alignment horizontal="center" vertical="top"/>
    </xf>
    <xf numFmtId="172" fontId="91" fillId="2" borderId="47" xfId="0" applyNumberFormat="1" applyFont="1" applyFill="1" applyBorder="1" applyProtection="1">
      <protection locked="0"/>
    </xf>
    <xf numFmtId="0" fontId="129" fillId="0" borderId="0" xfId="0" applyFont="1" applyAlignment="1" applyProtection="1">
      <alignment horizontal="center"/>
    </xf>
    <xf numFmtId="0" fontId="91" fillId="0" borderId="0" xfId="0" quotePrefix="1" applyFont="1"/>
    <xf numFmtId="14" fontId="91" fillId="0" borderId="0" xfId="0" applyNumberFormat="1" applyFont="1"/>
    <xf numFmtId="187" fontId="96" fillId="4" borderId="55" xfId="11" applyNumberFormat="1" applyFont="1" applyBorder="1" applyAlignment="1" applyProtection="1">
      <alignment horizontal="center"/>
      <protection locked="0"/>
    </xf>
    <xf numFmtId="174" fontId="91" fillId="0" borderId="57" xfId="0" applyNumberFormat="1" applyFont="1" applyBorder="1" applyAlignment="1" applyProtection="1">
      <alignment horizontal="right" wrapText="1"/>
    </xf>
    <xf numFmtId="174" fontId="91" fillId="0" borderId="57" xfId="0" applyNumberFormat="1" applyFont="1" applyBorder="1" applyAlignment="1" applyProtection="1">
      <alignment horizontal="right"/>
    </xf>
    <xf numFmtId="172" fontId="91" fillId="0" borderId="57" xfId="0" applyNumberFormat="1" applyFont="1" applyBorder="1" applyAlignment="1" applyProtection="1">
      <alignment horizontal="right"/>
    </xf>
    <xf numFmtId="174" fontId="91" fillId="0" borderId="0" xfId="0" quotePrefix="1" applyNumberFormat="1" applyFont="1" applyProtection="1"/>
    <xf numFmtId="172" fontId="96" fillId="0" borderId="0" xfId="0" applyNumberFormat="1" applyFont="1" applyFill="1" applyBorder="1" applyProtection="1">
      <protection locked="0"/>
    </xf>
    <xf numFmtId="0" fontId="90" fillId="0" borderId="0" xfId="0" applyFont="1" applyFill="1" applyBorder="1" applyProtection="1">
      <protection locked="0"/>
    </xf>
    <xf numFmtId="172" fontId="90" fillId="0" borderId="0" xfId="0" quotePrefix="1" applyNumberFormat="1" applyFont="1" applyFill="1" applyBorder="1" applyProtection="1"/>
    <xf numFmtId="172" fontId="90" fillId="0" borderId="0" xfId="0" applyNumberFormat="1" applyFont="1" applyFill="1" applyBorder="1" applyProtection="1"/>
    <xf numFmtId="0" fontId="90" fillId="0" borderId="57" xfId="0" applyFont="1" applyFill="1" applyBorder="1" applyProtection="1">
      <protection locked="0"/>
    </xf>
    <xf numFmtId="172" fontId="96" fillId="0" borderId="57" xfId="0" applyNumberFormat="1" applyFont="1" applyFill="1" applyBorder="1" applyProtection="1">
      <protection locked="0"/>
    </xf>
    <xf numFmtId="172" fontId="91" fillId="0" borderId="57" xfId="0" applyNumberFormat="1" applyFont="1" applyFill="1" applyBorder="1" applyProtection="1"/>
    <xf numFmtId="172" fontId="90" fillId="0" borderId="104" xfId="0" applyNumberFormat="1" applyFont="1" applyFill="1" applyBorder="1" applyProtection="1"/>
    <xf numFmtId="0" fontId="105" fillId="0" borderId="0" xfId="0" quotePrefix="1" applyFont="1" applyProtection="1"/>
    <xf numFmtId="9" fontId="95" fillId="0" borderId="0" xfId="10" applyFont="1" applyFill="1" applyProtection="1"/>
    <xf numFmtId="174" fontId="104" fillId="63" borderId="57" xfId="0" applyNumberFormat="1" applyFont="1" applyFill="1" applyBorder="1"/>
    <xf numFmtId="174" fontId="107" fillId="63" borderId="57" xfId="0" applyNumberFormat="1" applyFont="1" applyFill="1" applyBorder="1"/>
    <xf numFmtId="182" fontId="92" fillId="63" borderId="57" xfId="0" applyNumberFormat="1" applyFont="1" applyFill="1" applyBorder="1" applyAlignment="1">
      <alignment horizontal="center" vertical="top"/>
    </xf>
    <xf numFmtId="0" fontId="91" fillId="70" borderId="0" xfId="0" applyFont="1" applyFill="1"/>
    <xf numFmtId="0" fontId="91" fillId="70" borderId="47" xfId="0" applyFont="1" applyFill="1" applyBorder="1"/>
    <xf numFmtId="0" fontId="2" fillId="0" borderId="0" xfId="6628" quotePrefix="1"/>
    <xf numFmtId="172" fontId="2" fillId="0" borderId="0" xfId="6628" applyNumberFormat="1" applyFill="1"/>
    <xf numFmtId="0" fontId="92" fillId="0" borderId="1" xfId="0" applyFont="1" applyBorder="1" applyProtection="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4" fillId="0" borderId="0" xfId="0" applyFont="1" applyAlignment="1">
      <alignment horizontal="left"/>
    </xf>
    <xf numFmtId="0" fontId="104" fillId="0" borderId="0" xfId="0" applyFont="1"/>
    <xf numFmtId="0" fontId="107" fillId="0" borderId="0" xfId="0" applyFont="1"/>
    <xf numFmtId="0" fontId="131" fillId="0" borderId="47" xfId="7" applyFont="1" applyBorder="1" applyAlignment="1" applyProtection="1">
      <alignment horizontal="left"/>
    </xf>
    <xf numFmtId="0" fontId="107" fillId="0" borderId="47" xfId="0" applyFont="1" applyBorder="1"/>
    <xf numFmtId="0" fontId="0" fillId="0" borderId="47" xfId="0" applyBorder="1"/>
    <xf numFmtId="0" fontId="132" fillId="0" borderId="0" xfId="0" applyFont="1"/>
    <xf numFmtId="0" fontId="133" fillId="0" borderId="0" xfId="0" applyFont="1"/>
    <xf numFmtId="0" fontId="15" fillId="0" borderId="0" xfId="8" applyFont="1" applyAlignment="1" applyProtection="1">
      <alignment horizontal="center"/>
    </xf>
    <xf numFmtId="0" fontId="83" fillId="0" borderId="0" xfId="0" applyFont="1" applyProtection="1"/>
    <xf numFmtId="0" fontId="120" fillId="0" borderId="0" xfId="8" applyFont="1" applyAlignment="1" applyProtection="1">
      <alignment horizontal="left"/>
    </xf>
    <xf numFmtId="0" fontId="120" fillId="0" borderId="0" xfId="8" applyFont="1" applyAlignment="1" applyProtection="1">
      <alignment horizontal="center"/>
    </xf>
    <xf numFmtId="172" fontId="83" fillId="0" borderId="0" xfId="0" applyNumberFormat="1" applyFont="1" applyProtection="1"/>
    <xf numFmtId="0" fontId="83" fillId="0" borderId="0" xfId="0" applyFont="1"/>
    <xf numFmtId="175" fontId="120" fillId="2" borderId="0" xfId="8" applyNumberFormat="1" applyFont="1" applyFill="1" applyAlignment="1" applyProtection="1">
      <alignment horizontal="center"/>
    </xf>
    <xf numFmtId="0" fontId="64" fillId="0" borderId="0" xfId="8" applyFont="1" applyAlignment="1" applyProtection="1">
      <alignment horizontal="center"/>
    </xf>
    <xf numFmtId="0" fontId="107" fillId="0" borderId="0" xfId="0" applyFont="1" applyAlignment="1" applyProtection="1">
      <alignment horizontal="center"/>
    </xf>
    <xf numFmtId="174" fontId="83" fillId="0" borderId="0" xfId="0" applyNumberFormat="1" applyFont="1" applyProtection="1"/>
    <xf numFmtId="172" fontId="83" fillId="0" borderId="0" xfId="0" applyNumberFormat="1" applyFont="1"/>
    <xf numFmtId="43" fontId="107" fillId="0" borderId="57" xfId="4" applyFont="1" applyBorder="1" applyProtection="1"/>
    <xf numFmtId="0" fontId="107" fillId="0" borderId="0" xfId="8" applyFont="1" applyFill="1" applyAlignment="1" applyProtection="1">
      <alignment horizontal="right"/>
    </xf>
    <xf numFmtId="166" fontId="107" fillId="0" borderId="0" xfId="6" applyNumberFormat="1" applyFont="1" applyFill="1" applyBorder="1" applyAlignment="1" applyProtection="1">
      <alignment horizontal="center"/>
    </xf>
    <xf numFmtId="43" fontId="107" fillId="0" borderId="0" xfId="4" applyFont="1" applyBorder="1" applyProtection="1"/>
    <xf numFmtId="172" fontId="107" fillId="0" borderId="0" xfId="5" applyNumberFormat="1" applyFont="1" applyBorder="1" applyAlignment="1" applyProtection="1">
      <alignment horizontal="center"/>
    </xf>
    <xf numFmtId="0" fontId="104" fillId="0" borderId="0" xfId="8" quotePrefix="1" applyFont="1" applyFill="1" applyAlignment="1" applyProtection="1">
      <alignment horizontal="right"/>
    </xf>
    <xf numFmtId="174" fontId="107" fillId="0" borderId="0" xfId="5" applyNumberFormat="1" applyFont="1" applyBorder="1" applyAlignment="1" applyProtection="1">
      <alignment horizontal="right"/>
    </xf>
    <xf numFmtId="43" fontId="83" fillId="0" borderId="0" xfId="4" applyFont="1" applyProtection="1"/>
    <xf numFmtId="0" fontId="136" fillId="0" borderId="0" xfId="0" applyFont="1" applyProtection="1"/>
    <xf numFmtId="0" fontId="135" fillId="0" borderId="0" xfId="0" applyFont="1" applyProtection="1"/>
    <xf numFmtId="0" fontId="135" fillId="0" borderId="70" xfId="0" applyFont="1" applyFill="1" applyBorder="1" applyAlignment="1" applyProtection="1">
      <alignment horizontal="center"/>
    </xf>
    <xf numFmtId="0" fontId="135" fillId="0" borderId="66" xfId="0" applyFont="1" applyFill="1" applyBorder="1" applyAlignment="1" applyProtection="1">
      <alignment horizontal="center"/>
    </xf>
    <xf numFmtId="0" fontId="135" fillId="0" borderId="66" xfId="0" applyFont="1" applyBorder="1" applyAlignment="1" applyProtection="1">
      <alignment horizontal="center" wrapText="1"/>
    </xf>
    <xf numFmtId="0" fontId="107" fillId="0" borderId="51" xfId="0" applyFont="1" applyFill="1" applyBorder="1" applyProtection="1"/>
    <xf numFmtId="166" fontId="107" fillId="0" borderId="51" xfId="0" applyNumberFormat="1" applyFont="1" applyFill="1" applyBorder="1" applyProtection="1"/>
    <xf numFmtId="172" fontId="107" fillId="0" borderId="51" xfId="0" applyNumberFormat="1" applyFont="1" applyFill="1" applyBorder="1" applyProtection="1"/>
    <xf numFmtId="0" fontId="107" fillId="0" borderId="47" xfId="0" applyFont="1" applyFill="1" applyBorder="1" applyProtection="1"/>
    <xf numFmtId="172" fontId="107" fillId="0" borderId="47" xfId="0" applyNumberFormat="1" applyFont="1" applyFill="1" applyBorder="1" applyProtection="1"/>
    <xf numFmtId="174" fontId="107" fillId="0" borderId="47" xfId="0" applyNumberFormat="1" applyFont="1" applyFill="1" applyBorder="1" applyProtection="1"/>
    <xf numFmtId="0" fontId="137" fillId="0" borderId="0" xfId="0" applyFont="1" applyFill="1" applyBorder="1" applyProtection="1"/>
    <xf numFmtId="174" fontId="120" fillId="2" borderId="0" xfId="8" applyNumberFormat="1" applyFont="1" applyFill="1" applyAlignment="1" applyProtection="1">
      <alignment horizontal="center"/>
    </xf>
    <xf numFmtId="174" fontId="120" fillId="0" borderId="0" xfId="8" applyNumberFormat="1" applyFont="1" applyFill="1" applyAlignment="1" applyProtection="1">
      <alignment horizontal="center"/>
    </xf>
    <xf numFmtId="0" fontId="107" fillId="0" borderId="57" xfId="8" applyFont="1" applyFill="1" applyBorder="1" applyAlignment="1" applyProtection="1">
      <alignment horizontal="left"/>
    </xf>
    <xf numFmtId="0" fontId="107" fillId="0" borderId="47" xfId="0" applyFont="1" applyBorder="1" applyAlignment="1">
      <alignment horizontal="center"/>
    </xf>
    <xf numFmtId="0" fontId="95" fillId="0" borderId="0" xfId="0" applyFont="1"/>
    <xf numFmtId="172" fontId="96" fillId="2" borderId="51" xfId="0" applyNumberFormat="1" applyFont="1" applyFill="1" applyBorder="1" applyProtection="1">
      <protection locked="0"/>
    </xf>
    <xf numFmtId="172" fontId="96" fillId="0" borderId="76" xfId="0" applyNumberFormat="1" applyFont="1" applyFill="1" applyBorder="1" applyProtection="1">
      <protection locked="0"/>
    </xf>
    <xf numFmtId="0" fontId="96" fillId="0" borderId="51" xfId="0" applyFont="1" applyFill="1" applyBorder="1" applyProtection="1">
      <protection locked="0"/>
    </xf>
    <xf numFmtId="174" fontId="96" fillId="0" borderId="51" xfId="0" applyNumberFormat="1" applyFont="1" applyFill="1" applyBorder="1" applyProtection="1">
      <protection locked="0"/>
    </xf>
    <xf numFmtId="172" fontId="96" fillId="0" borderId="47" xfId="0" applyNumberFormat="1" applyFont="1" applyFill="1" applyBorder="1" applyProtection="1">
      <protection locked="0"/>
    </xf>
    <xf numFmtId="0" fontId="89" fillId="0" borderId="76" xfId="0" applyFont="1" applyFill="1" applyBorder="1" applyAlignment="1" applyProtection="1">
      <alignment vertical="center"/>
      <protection locked="0"/>
    </xf>
    <xf numFmtId="174" fontId="90" fillId="0" borderId="55" xfId="0" applyNumberFormat="1" applyFont="1" applyFill="1" applyBorder="1" applyProtection="1"/>
    <xf numFmtId="183" fontId="91" fillId="0" borderId="0" xfId="4" applyNumberFormat="1" applyFont="1" applyFill="1" applyProtection="1"/>
    <xf numFmtId="183" fontId="91" fillId="0" borderId="0" xfId="4" applyNumberFormat="1" applyFont="1" applyProtection="1"/>
    <xf numFmtId="0" fontId="96" fillId="0" borderId="47" xfId="0" applyFont="1" applyFill="1" applyBorder="1" applyAlignment="1" applyProtection="1">
      <alignment vertical="center"/>
      <protection locked="0"/>
    </xf>
    <xf numFmtId="0" fontId="91" fillId="0" borderId="0" xfId="0" applyFont="1" applyFill="1" applyAlignment="1" applyProtection="1">
      <alignment wrapText="1"/>
    </xf>
    <xf numFmtId="0" fontId="131" fillId="0" borderId="51" xfId="7" applyFont="1" applyBorder="1" applyAlignment="1" applyProtection="1">
      <alignment horizontal="left"/>
    </xf>
    <xf numFmtId="0" fontId="107" fillId="0" borderId="51" xfId="0" applyFont="1" applyBorder="1" applyAlignment="1">
      <alignment horizontal="center"/>
    </xf>
    <xf numFmtId="0" fontId="107" fillId="0" borderId="51" xfId="0" applyFont="1" applyBorder="1"/>
    <xf numFmtId="0" fontId="91" fillId="0" borderId="51" xfId="0" applyFont="1" applyBorder="1"/>
    <xf numFmtId="0" fontId="0" fillId="0" borderId="51" xfId="0" applyBorder="1"/>
    <xf numFmtId="0" fontId="112" fillId="0" borderId="1" xfId="0" applyFont="1" applyBorder="1"/>
    <xf numFmtId="0" fontId="0" fillId="0" borderId="1" xfId="0" applyBorder="1"/>
    <xf numFmtId="0" fontId="12" fillId="71" borderId="0" xfId="0" applyFont="1" applyFill="1"/>
    <xf numFmtId="0" fontId="139" fillId="71" borderId="0" xfId="0" applyFont="1" applyFill="1"/>
    <xf numFmtId="0" fontId="131" fillId="0" borderId="0" xfId="7" applyFont="1" applyBorder="1" applyAlignment="1" applyProtection="1">
      <alignment horizontal="left"/>
    </xf>
    <xf numFmtId="0" fontId="131" fillId="0" borderId="0" xfId="7" applyFont="1" applyBorder="1" applyAlignment="1" applyProtection="1">
      <alignment horizontal="center"/>
    </xf>
    <xf numFmtId="0" fontId="104" fillId="0" borderId="0" xfId="0" applyFont="1" applyFill="1" applyProtection="1"/>
    <xf numFmtId="0" fontId="94" fillId="0" borderId="0" xfId="6628" applyFont="1" applyProtection="1"/>
    <xf numFmtId="1" fontId="91" fillId="0" borderId="57" xfId="0" applyNumberFormat="1" applyFont="1" applyFill="1" applyBorder="1" applyAlignment="1" applyProtection="1">
      <alignment horizontal="left"/>
    </xf>
    <xf numFmtId="1" fontId="91" fillId="0" borderId="0" xfId="0" applyNumberFormat="1" applyFont="1" applyFill="1" applyAlignment="1" applyProtection="1">
      <alignment horizontal="left"/>
    </xf>
    <xf numFmtId="164" fontId="91" fillId="0" borderId="0" xfId="0" applyNumberFormat="1" applyFont="1" applyAlignment="1" applyProtection="1">
      <alignment horizontal="center" vertical="top"/>
    </xf>
    <xf numFmtId="5" fontId="91" fillId="0" borderId="0" xfId="0" applyNumberFormat="1" applyFont="1" applyAlignment="1" applyProtection="1">
      <alignment horizontal="center" vertical="top"/>
    </xf>
    <xf numFmtId="175" fontId="91" fillId="0" borderId="0" xfId="0" applyNumberFormat="1" applyFont="1" applyAlignment="1" applyProtection="1">
      <alignment horizontal="center" vertical="top"/>
    </xf>
    <xf numFmtId="5" fontId="92" fillId="0" borderId="0" xfId="0" applyNumberFormat="1" applyFont="1" applyBorder="1" applyAlignment="1" applyProtection="1">
      <alignment horizontal="center" vertical="top"/>
    </xf>
    <xf numFmtId="175" fontId="92" fillId="0" borderId="0" xfId="0" applyNumberFormat="1" applyFont="1" applyBorder="1" applyAlignment="1" applyProtection="1">
      <alignment horizontal="center" vertical="top"/>
    </xf>
    <xf numFmtId="175" fontId="91" fillId="0" borderId="0" xfId="0" applyNumberFormat="1" applyFont="1" applyBorder="1" applyAlignment="1" applyProtection="1">
      <alignment horizontal="center" vertical="top"/>
    </xf>
    <xf numFmtId="165" fontId="92" fillId="0" borderId="0" xfId="0" applyNumberFormat="1" applyFont="1" applyAlignment="1" applyProtection="1">
      <alignment horizontal="center" vertical="top"/>
    </xf>
    <xf numFmtId="175" fontId="92" fillId="0" borderId="0" xfId="0" applyNumberFormat="1" applyFont="1" applyAlignment="1" applyProtection="1">
      <alignment horizontal="center" vertical="top"/>
    </xf>
    <xf numFmtId="0" fontId="92" fillId="0" borderId="5" xfId="0" applyFont="1" applyBorder="1" applyAlignment="1" applyProtection="1">
      <alignment horizontal="left"/>
    </xf>
    <xf numFmtId="175" fontId="92" fillId="0" borderId="6" xfId="0" applyNumberFormat="1" applyFont="1" applyBorder="1" applyAlignment="1" applyProtection="1">
      <alignment horizontal="center"/>
    </xf>
    <xf numFmtId="0" fontId="106" fillId="0" borderId="0" xfId="0" applyFont="1" applyFill="1" applyBorder="1" applyProtection="1"/>
    <xf numFmtId="165" fontId="105" fillId="0" borderId="0" xfId="0" applyNumberFormat="1" applyFont="1" applyAlignment="1" applyProtection="1">
      <alignment horizontal="center"/>
    </xf>
    <xf numFmtId="165" fontId="106" fillId="0" borderId="0" xfId="0" applyNumberFormat="1" applyFont="1" applyAlignment="1" applyProtection="1">
      <alignment horizontal="center"/>
    </xf>
    <xf numFmtId="0" fontId="106" fillId="0" borderId="5" xfId="0" applyFont="1" applyBorder="1" applyAlignment="1" applyProtection="1">
      <alignment horizontal="left"/>
    </xf>
    <xf numFmtId="6" fontId="92" fillId="0" borderId="6" xfId="0" applyNumberFormat="1" applyFont="1" applyBorder="1" applyAlignment="1" applyProtection="1">
      <alignment horizontal="center"/>
    </xf>
    <xf numFmtId="172" fontId="92" fillId="0" borderId="0" xfId="0" applyNumberFormat="1" applyFont="1" applyFill="1" applyAlignment="1" applyProtection="1">
      <alignment horizontal="center"/>
    </xf>
    <xf numFmtId="180" fontId="92" fillId="0" borderId="0" xfId="0" applyNumberFormat="1" applyFont="1" applyFill="1" applyAlignment="1" applyProtection="1">
      <alignment horizontal="center"/>
    </xf>
    <xf numFmtId="6" fontId="91" fillId="0" borderId="57" xfId="0" applyNumberFormat="1" applyFont="1" applyBorder="1" applyAlignment="1" applyProtection="1">
      <alignment horizontal="center"/>
    </xf>
    <xf numFmtId="6" fontId="91" fillId="0" borderId="0" xfId="0" applyNumberFormat="1" applyFont="1" applyFill="1" applyAlignment="1" applyProtection="1">
      <alignment horizontal="center"/>
    </xf>
    <xf numFmtId="6" fontId="91" fillId="0" borderId="0" xfId="0" applyNumberFormat="1" applyFont="1" applyBorder="1" applyAlignment="1" applyProtection="1">
      <alignment horizontal="center"/>
    </xf>
    <xf numFmtId="1" fontId="92" fillId="0" borderId="57" xfId="0" applyNumberFormat="1" applyFont="1" applyFill="1" applyBorder="1" applyAlignment="1" applyProtection="1">
      <alignment horizontal="left"/>
    </xf>
    <xf numFmtId="1" fontId="92" fillId="0" borderId="0" xfId="0" applyNumberFormat="1" applyFont="1" applyFill="1" applyAlignment="1" applyProtection="1">
      <alignment horizontal="left"/>
    </xf>
    <xf numFmtId="1" fontId="105" fillId="0" borderId="0" xfId="0" applyNumberFormat="1" applyFont="1" applyFill="1" applyBorder="1" applyAlignment="1" applyProtection="1">
      <alignment horizontal="left"/>
    </xf>
    <xf numFmtId="1" fontId="91" fillId="0" borderId="0" xfId="0" applyNumberFormat="1" applyFont="1" applyFill="1" applyBorder="1" applyAlignment="1" applyProtection="1">
      <alignment horizontal="left"/>
    </xf>
    <xf numFmtId="1" fontId="92" fillId="0" borderId="0" xfId="0" applyNumberFormat="1" applyFont="1" applyFill="1" applyBorder="1" applyAlignment="1" applyProtection="1">
      <alignment horizontal="left"/>
    </xf>
    <xf numFmtId="174" fontId="91" fillId="0" borderId="0" xfId="0" applyNumberFormat="1" applyFont="1" applyFill="1" applyBorder="1" applyAlignment="1" applyProtection="1">
      <alignment horizontal="center"/>
    </xf>
    <xf numFmtId="1" fontId="91" fillId="0" borderId="0" xfId="0" applyNumberFormat="1" applyFont="1" applyBorder="1" applyAlignment="1" applyProtection="1">
      <alignment horizontal="center" vertical="top"/>
    </xf>
    <xf numFmtId="3" fontId="91" fillId="0" borderId="0" xfId="0" applyNumberFormat="1" applyFont="1" applyAlignment="1" applyProtection="1">
      <alignment horizontal="center" vertical="top"/>
    </xf>
    <xf numFmtId="3" fontId="91" fillId="0" borderId="57" xfId="0" applyNumberFormat="1" applyFont="1" applyBorder="1" applyAlignment="1" applyProtection="1">
      <alignment horizontal="center" vertical="top"/>
    </xf>
    <xf numFmtId="175" fontId="92" fillId="0" borderId="6" xfId="0" applyNumberFormat="1" applyFont="1" applyFill="1" applyBorder="1" applyAlignment="1" applyProtection="1">
      <alignment horizontal="center"/>
    </xf>
    <xf numFmtId="179" fontId="92" fillId="0" borderId="6" xfId="0" applyNumberFormat="1" applyFont="1" applyBorder="1" applyAlignment="1" applyProtection="1">
      <alignment horizontal="center"/>
    </xf>
    <xf numFmtId="0" fontId="106" fillId="0" borderId="0" xfId="0" quotePrefix="1" applyFont="1" applyProtection="1"/>
    <xf numFmtId="6" fontId="105" fillId="0" borderId="0" xfId="0" applyNumberFormat="1" applyFont="1" applyAlignment="1" applyProtection="1">
      <alignment horizontal="center"/>
    </xf>
    <xf numFmtId="165" fontId="91" fillId="0" borderId="0" xfId="0" applyNumberFormat="1" applyFont="1" applyFill="1" applyProtection="1"/>
    <xf numFmtId="0" fontId="91" fillId="0" borderId="0" xfId="0" applyFont="1" applyFill="1" applyAlignment="1">
      <alignment horizontal="left" indent="1"/>
    </xf>
    <xf numFmtId="0" fontId="92" fillId="63" borderId="1" xfId="0" applyFont="1" applyFill="1" applyBorder="1"/>
    <xf numFmtId="0" fontId="130" fillId="0" borderId="0" xfId="0" applyFont="1" applyFill="1" applyBorder="1"/>
    <xf numFmtId="183" fontId="92" fillId="0" borderId="1" xfId="4" applyNumberFormat="1" applyFont="1" applyFill="1" applyBorder="1"/>
    <xf numFmtId="183" fontId="92" fillId="0" borderId="1" xfId="4" applyNumberFormat="1" applyFont="1" applyFill="1" applyBorder="1" applyAlignment="1">
      <alignment horizontal="center"/>
    </xf>
    <xf numFmtId="172" fontId="91" fillId="0" borderId="0" xfId="33110" applyNumberFormat="1" applyFont="1" applyFill="1" applyBorder="1" applyAlignment="1">
      <alignment horizontal="right"/>
    </xf>
    <xf numFmtId="172" fontId="91" fillId="0" borderId="47" xfId="33110" applyNumberFormat="1" applyFont="1" applyFill="1" applyBorder="1" applyAlignment="1">
      <alignment horizontal="right"/>
    </xf>
    <xf numFmtId="0" fontId="102" fillId="65" borderId="0" xfId="0" applyFont="1" applyFill="1" applyProtection="1"/>
    <xf numFmtId="174" fontId="107" fillId="0" borderId="47" xfId="0" applyNumberFormat="1" applyFont="1" applyFill="1" applyBorder="1"/>
    <xf numFmtId="0" fontId="105" fillId="0" borderId="47" xfId="0" applyFont="1" applyFill="1" applyBorder="1"/>
    <xf numFmtId="174" fontId="92" fillId="60" borderId="0" xfId="0" applyNumberFormat="1" applyFont="1" applyFill="1" applyAlignment="1">
      <alignment horizontal="right"/>
    </xf>
    <xf numFmtId="0" fontId="92" fillId="60" borderId="0" xfId="0" applyFont="1" applyFill="1" applyAlignment="1" applyProtection="1">
      <alignment horizontal="center"/>
    </xf>
    <xf numFmtId="0" fontId="92" fillId="60" borderId="5" xfId="0" applyFont="1" applyFill="1" applyBorder="1"/>
    <xf numFmtId="174" fontId="92" fillId="60" borderId="6" xfId="0" applyNumberFormat="1" applyFont="1" applyFill="1" applyBorder="1" applyAlignment="1">
      <alignment horizontal="right"/>
    </xf>
    <xf numFmtId="0" fontId="92" fillId="60" borderId="6" xfId="0" applyFont="1" applyFill="1" applyBorder="1"/>
    <xf numFmtId="172" fontId="91" fillId="0" borderId="47" xfId="0" applyNumberFormat="1" applyFont="1" applyFill="1" applyBorder="1" applyAlignment="1">
      <alignment horizontal="right" vertical="top"/>
    </xf>
    <xf numFmtId="174" fontId="91" fillId="0" borderId="47" xfId="0" applyNumberFormat="1" applyFont="1" applyFill="1" applyBorder="1" applyAlignment="1">
      <alignment horizontal="right" vertical="top"/>
    </xf>
    <xf numFmtId="174" fontId="90" fillId="0" borderId="47" xfId="13330" applyNumberFormat="1" applyFont="1" applyFill="1" applyBorder="1" applyAlignment="1">
      <alignment horizontal="right" vertical="top"/>
    </xf>
    <xf numFmtId="174" fontId="90" fillId="0" borderId="74" xfId="9" applyNumberFormat="1" applyFont="1" applyFill="1" applyBorder="1" applyAlignment="1" applyProtection="1">
      <alignment horizontal="right" vertical="top"/>
      <protection locked="0"/>
    </xf>
    <xf numFmtId="174" fontId="90" fillId="0" borderId="47" xfId="0" applyNumberFormat="1" applyFont="1" applyFill="1" applyBorder="1" applyAlignment="1">
      <alignment horizontal="right"/>
    </xf>
    <xf numFmtId="174" fontId="90" fillId="0" borderId="74" xfId="9" applyNumberFormat="1" applyFont="1" applyFill="1" applyBorder="1" applyAlignment="1" applyProtection="1">
      <alignment horizontal="right" vertical="top"/>
    </xf>
    <xf numFmtId="174" fontId="91" fillId="0" borderId="74" xfId="9" applyNumberFormat="1" applyFont="1" applyFill="1" applyBorder="1" applyAlignment="1" applyProtection="1">
      <alignment horizontal="right" vertical="top"/>
      <protection locked="0"/>
    </xf>
    <xf numFmtId="174" fontId="91" fillId="0" borderId="47" xfId="9" applyNumberFormat="1" applyFont="1" applyFill="1" applyBorder="1" applyAlignment="1" applyProtection="1">
      <alignment horizontal="right" vertical="top"/>
    </xf>
    <xf numFmtId="174" fontId="96" fillId="2" borderId="49" xfId="13118" applyNumberFormat="1" applyFont="1" applyFill="1" applyBorder="1" applyProtection="1">
      <protection locked="0"/>
    </xf>
    <xf numFmtId="172" fontId="96" fillId="2" borderId="48" xfId="13118" applyNumberFormat="1" applyFont="1" applyFill="1" applyBorder="1" applyProtection="1">
      <protection locked="0"/>
    </xf>
    <xf numFmtId="172" fontId="2" fillId="0" borderId="0" xfId="8" applyNumberFormat="1"/>
    <xf numFmtId="172" fontId="91" fillId="0" borderId="0" xfId="0" applyNumberFormat="1" applyFont="1" applyFill="1" applyBorder="1" applyAlignment="1">
      <alignment horizontal="right" vertical="top"/>
    </xf>
    <xf numFmtId="174" fontId="92" fillId="0" borderId="1" xfId="33110" applyNumberFormat="1" applyFont="1" applyFill="1" applyBorder="1"/>
    <xf numFmtId="174" fontId="92" fillId="0" borderId="1" xfId="0" applyNumberFormat="1" applyFont="1" applyFill="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Fill="1" applyBorder="1"/>
    <xf numFmtId="175" fontId="91" fillId="2" borderId="0" xfId="0" applyNumberFormat="1" applyFont="1" applyFill="1" applyAlignment="1" applyProtection="1">
      <alignment horizontal="right"/>
      <protection locked="0"/>
    </xf>
    <xf numFmtId="0" fontId="106" fillId="0" borderId="0" xfId="0" applyFont="1" applyFill="1" applyProtection="1"/>
    <xf numFmtId="0" fontId="92" fillId="0" borderId="0" xfId="0" applyFont="1" applyAlignment="1" applyProtection="1">
      <alignment horizontal="left" wrapText="1"/>
    </xf>
    <xf numFmtId="172" fontId="96" fillId="2" borderId="55" xfId="0" applyNumberFormat="1" applyFont="1" applyFill="1" applyBorder="1" applyProtection="1">
      <protection locked="0"/>
    </xf>
    <xf numFmtId="172" fontId="96" fillId="2" borderId="103" xfId="0" applyNumberFormat="1" applyFont="1" applyFill="1" applyBorder="1" applyProtection="1">
      <protection locked="0"/>
    </xf>
    <xf numFmtId="172" fontId="91" fillId="0" borderId="95" xfId="33111" applyNumberFormat="1" applyFont="1" applyFill="1" applyBorder="1" applyAlignment="1">
      <alignment horizontal="right" vertical="center" wrapText="1"/>
    </xf>
    <xf numFmtId="0" fontId="91" fillId="2" borderId="51" xfId="0" applyFont="1" applyFill="1" applyBorder="1" applyProtection="1">
      <protection locked="0"/>
    </xf>
    <xf numFmtId="0" fontId="140" fillId="0" borderId="0" xfId="0" applyFont="1" applyAlignment="1">
      <alignment horizontal="center"/>
    </xf>
    <xf numFmtId="164" fontId="91" fillId="67" borderId="0" xfId="0" applyNumberFormat="1" applyFont="1" applyFill="1" applyBorder="1" applyAlignment="1">
      <alignment horizontal="center"/>
    </xf>
    <xf numFmtId="0" fontId="91" fillId="67" borderId="0" xfId="0" applyFont="1" applyFill="1" applyBorder="1"/>
    <xf numFmtId="174" fontId="107" fillId="0" borderId="52" xfId="0" applyNumberFormat="1" applyFont="1" applyFill="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172" fontId="0" fillId="0" borderId="0" xfId="0" applyNumberFormat="1"/>
    <xf numFmtId="0" fontId="89" fillId="0" borderId="76" xfId="0" applyFont="1" applyFill="1" applyBorder="1" applyProtection="1"/>
    <xf numFmtId="172" fontId="96" fillId="0" borderId="76" xfId="0" applyNumberFormat="1" applyFont="1" applyFill="1" applyBorder="1" applyProtection="1"/>
    <xf numFmtId="0" fontId="90" fillId="0" borderId="51" xfId="0" applyFont="1" applyFill="1" applyBorder="1" applyAlignment="1" applyProtection="1">
      <alignment vertical="center"/>
    </xf>
    <xf numFmtId="0" fontId="90" fillId="0" borderId="47" xfId="0" applyFont="1" applyFill="1" applyBorder="1" applyAlignment="1" applyProtection="1">
      <alignment wrapText="1"/>
    </xf>
    <xf numFmtId="174" fontId="90" fillId="0" borderId="47" xfId="0" applyNumberFormat="1" applyFont="1" applyFill="1" applyBorder="1" applyProtection="1"/>
    <xf numFmtId="0" fontId="90" fillId="0" borderId="47" xfId="0" applyFont="1" applyFill="1" applyBorder="1" applyProtection="1"/>
    <xf numFmtId="172" fontId="90" fillId="0" borderId="47" xfId="0" applyNumberFormat="1" applyFont="1" applyFill="1" applyBorder="1" applyProtection="1"/>
    <xf numFmtId="0" fontId="90" fillId="0" borderId="47" xfId="0" applyFont="1" applyFill="1" applyBorder="1" applyAlignment="1" applyProtection="1">
      <alignment vertical="center"/>
    </xf>
    <xf numFmtId="198" fontId="91" fillId="0" borderId="57" xfId="0" applyNumberFormat="1" applyFont="1" applyFill="1" applyBorder="1" applyAlignment="1" applyProtection="1">
      <alignment horizontal="center"/>
    </xf>
    <xf numFmtId="198" fontId="91" fillId="0" borderId="0" xfId="0" applyNumberFormat="1" applyFont="1" applyFill="1" applyBorder="1" applyAlignment="1" applyProtection="1">
      <alignment horizontal="center"/>
    </xf>
    <xf numFmtId="199" fontId="91" fillId="0" borderId="0" xfId="0" applyNumberFormat="1" applyFont="1" applyBorder="1" applyAlignment="1" applyProtection="1">
      <alignment horizontal="center" vertical="top"/>
    </xf>
    <xf numFmtId="199" fontId="91" fillId="0" borderId="0" xfId="0" applyNumberFormat="1" applyFont="1" applyFill="1" applyBorder="1" applyAlignment="1" applyProtection="1">
      <alignment horizontal="center" vertical="top"/>
    </xf>
    <xf numFmtId="199" fontId="91" fillId="0" borderId="57" xfId="0" applyNumberFormat="1" applyFont="1" applyBorder="1" applyAlignment="1" applyProtection="1">
      <alignment horizontal="center" vertical="top"/>
    </xf>
    <xf numFmtId="200" fontId="91" fillId="0" borderId="0" xfId="0" applyNumberFormat="1" applyFont="1" applyAlignment="1" applyProtection="1">
      <alignment horizontal="center" vertical="top"/>
    </xf>
    <xf numFmtId="0" fontId="129" fillId="0" borderId="0" xfId="0" applyFont="1" applyFill="1" applyAlignment="1">
      <alignment horizontal="left" indent="1"/>
    </xf>
    <xf numFmtId="0" fontId="141" fillId="0" borderId="0" xfId="0" applyFont="1" applyAlignment="1">
      <alignment horizontal="center"/>
    </xf>
    <xf numFmtId="0" fontId="129" fillId="0" borderId="0" xfId="0" applyFont="1" applyFill="1" applyAlignment="1" applyProtection="1">
      <alignment horizontal="center"/>
    </xf>
    <xf numFmtId="0" fontId="129" fillId="0" borderId="0" xfId="0" applyFont="1" applyBorder="1" applyAlignment="1">
      <alignment horizontal="left" indent="1"/>
    </xf>
    <xf numFmtId="0" fontId="129" fillId="0" borderId="0" xfId="0" applyFont="1" applyBorder="1" applyAlignment="1">
      <alignment horizontal="center"/>
    </xf>
    <xf numFmtId="0" fontId="129" fillId="0" borderId="0" xfId="0" applyFont="1" applyFill="1" applyAlignment="1">
      <alignment horizontal="center"/>
    </xf>
    <xf numFmtId="0" fontId="104" fillId="0" borderId="0" xfId="0" applyFont="1" applyAlignment="1">
      <alignment horizontal="left" vertical="top"/>
    </xf>
    <xf numFmtId="0" fontId="107" fillId="0" borderId="0" xfId="0" applyFont="1" applyAlignment="1">
      <alignment horizontal="left" vertical="top"/>
    </xf>
    <xf numFmtId="0" fontId="95" fillId="0" borderId="0" xfId="8" applyFont="1" applyFill="1"/>
    <xf numFmtId="0" fontId="95" fillId="0" borderId="0" xfId="0" applyFont="1" applyFill="1"/>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42" fillId="0" borderId="0" xfId="6628" applyNumberFormat="1" applyFont="1" applyAlignment="1">
      <alignment horizontal="center"/>
    </xf>
    <xf numFmtId="0" fontId="129" fillId="0" borderId="0" xfId="0" applyFont="1" applyBorder="1" applyAlignment="1" applyProtection="1">
      <alignment horizontal="center"/>
    </xf>
    <xf numFmtId="175" fontId="91" fillId="0" borderId="0" xfId="0" applyNumberFormat="1" applyFont="1" applyProtection="1"/>
    <xf numFmtId="187" fontId="91" fillId="0" borderId="3" xfId="11" applyNumberFormat="1" applyFont="1" applyFill="1" applyAlignment="1" applyProtection="1">
      <alignment horizontal="right"/>
      <protection locked="0"/>
    </xf>
    <xf numFmtId="164" fontId="96" fillId="0" borderId="0" xfId="11" applyNumberFormat="1" applyFont="1" applyFill="1" applyBorder="1" applyAlignment="1" applyProtection="1">
      <alignment horizontal="center"/>
      <protection locked="0"/>
    </xf>
    <xf numFmtId="0" fontId="96" fillId="2" borderId="55" xfId="0" applyFont="1" applyFill="1" applyBorder="1" applyAlignment="1" applyProtection="1">
      <alignment horizontal="center" vertical="top"/>
      <protection locked="0"/>
    </xf>
    <xf numFmtId="1" fontId="96" fillId="2" borderId="55" xfId="0" applyNumberFormat="1" applyFont="1" applyFill="1" applyBorder="1" applyAlignment="1" applyProtection="1">
      <alignment horizontal="center" vertical="top"/>
      <protection locked="0"/>
    </xf>
    <xf numFmtId="0" fontId="90" fillId="0" borderId="55" xfId="0" applyFont="1" applyFill="1" applyBorder="1" applyAlignment="1" applyProtection="1">
      <alignment horizontal="center" vertical="top"/>
    </xf>
    <xf numFmtId="172" fontId="90" fillId="0" borderId="55" xfId="0" applyNumberFormat="1" applyFont="1" applyFill="1" applyBorder="1" applyAlignment="1" applyProtection="1">
      <alignment horizontal="center" vertical="top"/>
    </xf>
    <xf numFmtId="9" fontId="92" fillId="0" borderId="55" xfId="9" applyFont="1" applyFill="1" applyBorder="1" applyAlignment="1" applyProtection="1">
      <alignment horizontal="center" vertical="top"/>
      <protection locked="0"/>
    </xf>
    <xf numFmtId="172" fontId="91" fillId="0" borderId="55" xfId="9" applyNumberFormat="1" applyFont="1" applyFill="1" applyBorder="1" applyAlignment="1" applyProtection="1">
      <alignment horizontal="center" vertical="top"/>
    </xf>
    <xf numFmtId="174" fontId="0" fillId="0" borderId="0" xfId="33110" applyNumberFormat="1" applyFont="1"/>
    <xf numFmtId="174" fontId="0" fillId="0" borderId="0" xfId="0" applyNumberFormat="1"/>
    <xf numFmtId="0" fontId="143" fillId="0" borderId="0" xfId="0" applyFont="1" applyAlignment="1" applyProtection="1">
      <alignment horizontal="center"/>
    </xf>
    <xf numFmtId="0" fontId="144" fillId="0" borderId="0" xfId="0" applyFont="1" applyProtection="1"/>
    <xf numFmtId="0" fontId="92" fillId="60" borderId="0" xfId="0" applyFont="1" applyFill="1" applyAlignment="1">
      <alignment horizontal="right"/>
    </xf>
    <xf numFmtId="195" fontId="92" fillId="60" borderId="0" xfId="0" applyNumberFormat="1" applyFont="1" applyFill="1" applyAlignment="1">
      <alignment horizontal="right"/>
    </xf>
    <xf numFmtId="0" fontId="92" fillId="68"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5" fillId="0" borderId="0" xfId="0" applyFont="1" applyFill="1" applyBorder="1" applyAlignment="1" applyProtection="1">
      <alignment horizontal="right" vertical="top"/>
    </xf>
    <xf numFmtId="0" fontId="91" fillId="0" borderId="0" xfId="0" applyFont="1" applyFill="1" applyAlignment="1">
      <alignment horizontal="right"/>
    </xf>
    <xf numFmtId="0" fontId="91" fillId="0" borderId="0" xfId="0" applyFont="1" applyFill="1" applyBorder="1" applyAlignment="1">
      <alignment horizontal="right"/>
    </xf>
    <xf numFmtId="195" fontId="92" fillId="0" borderId="0" xfId="0" applyNumberFormat="1" applyFont="1" applyFill="1" applyAlignment="1">
      <alignment horizontal="right"/>
    </xf>
    <xf numFmtId="173" fontId="91" fillId="0" borderId="0" xfId="0" applyNumberFormat="1" applyFont="1" applyFill="1" applyBorder="1" applyAlignment="1">
      <alignment horizontal="right" vertical="top"/>
    </xf>
    <xf numFmtId="172" fontId="96" fillId="0" borderId="0" xfId="11" applyNumberFormat="1" applyFont="1" applyFill="1" applyBorder="1" applyAlignment="1" applyProtection="1">
      <alignment horizontal="center"/>
      <protection locked="0"/>
    </xf>
    <xf numFmtId="172" fontId="92" fillId="0" borderId="0" xfId="0" applyNumberFormat="1" applyFont="1" applyBorder="1" applyAlignment="1" applyProtection="1">
      <alignment horizontal="right"/>
    </xf>
    <xf numFmtId="0" fontId="91" fillId="0" borderId="0" xfId="0" applyFont="1" applyAlignment="1" applyProtection="1">
      <alignment horizontal="right"/>
    </xf>
    <xf numFmtId="165" fontId="91" fillId="0" borderId="0" xfId="0" applyNumberFormat="1" applyFont="1" applyAlignment="1" applyProtection="1">
      <alignment horizontal="right"/>
    </xf>
    <xf numFmtId="0" fontId="91" fillId="0" borderId="0" xfId="0" applyFont="1" applyFill="1" applyAlignment="1" applyProtection="1">
      <alignment horizontal="right"/>
    </xf>
    <xf numFmtId="177" fontId="91" fillId="0" borderId="0" xfId="0" applyNumberFormat="1" applyFont="1" applyAlignment="1" applyProtection="1">
      <alignment horizontal="right"/>
    </xf>
    <xf numFmtId="176" fontId="92" fillId="0" borderId="0" xfId="0" applyNumberFormat="1" applyFont="1" applyAlignment="1" applyProtection="1">
      <alignment horizontal="right"/>
    </xf>
    <xf numFmtId="181" fontId="101" fillId="4" borderId="55" xfId="11" applyNumberFormat="1" applyFont="1" applyBorder="1" applyAlignment="1" applyProtection="1">
      <alignment horizontal="right"/>
      <protection locked="0"/>
    </xf>
    <xf numFmtId="187" fontId="96" fillId="4" borderId="55" xfId="11" applyNumberFormat="1" applyFont="1" applyBorder="1" applyAlignment="1" applyProtection="1">
      <alignment horizontal="right"/>
      <protection locked="0"/>
    </xf>
    <xf numFmtId="187" fontId="90" fillId="0" borderId="55" xfId="11" applyNumberFormat="1" applyFont="1" applyFill="1" applyBorder="1" applyAlignment="1" applyProtection="1">
      <alignment horizontal="right"/>
    </xf>
    <xf numFmtId="175" fontId="96" fillId="4" borderId="55" xfId="11" applyNumberFormat="1" applyFont="1" applyBorder="1" applyAlignment="1" applyProtection="1">
      <alignment horizontal="right"/>
      <protection locked="0"/>
    </xf>
    <xf numFmtId="178" fontId="90" fillId="0" borderId="55" xfId="0" applyNumberFormat="1" applyFont="1" applyFill="1" applyBorder="1" applyAlignment="1" applyProtection="1">
      <alignment horizontal="right"/>
    </xf>
    <xf numFmtId="0" fontId="104" fillId="0" borderId="40" xfId="0" applyFont="1" applyBorder="1" applyAlignment="1">
      <alignment horizontal="right" vertical="top"/>
    </xf>
    <xf numFmtId="195" fontId="92" fillId="0" borderId="1" xfId="0" applyNumberFormat="1" applyFont="1" applyBorder="1" applyAlignment="1">
      <alignment horizontal="right"/>
    </xf>
    <xf numFmtId="0" fontId="91" fillId="0" borderId="1" xfId="0" applyFont="1" applyFill="1" applyBorder="1" applyAlignment="1">
      <alignment horizontal="right"/>
    </xf>
    <xf numFmtId="174" fontId="91" fillId="0" borderId="0" xfId="0" applyNumberFormat="1" applyFont="1" applyFill="1" applyBorder="1" applyAlignment="1" applyProtection="1">
      <alignment horizontal="right"/>
    </xf>
    <xf numFmtId="0" fontId="92" fillId="0" borderId="50" xfId="0" applyFont="1" applyBorder="1" applyProtection="1"/>
    <xf numFmtId="0" fontId="91" fillId="0" borderId="50" xfId="0" applyFont="1" applyBorder="1" applyProtection="1"/>
    <xf numFmtId="174" fontId="91" fillId="0" borderId="50" xfId="0" applyNumberFormat="1" applyFont="1" applyFill="1" applyBorder="1" applyAlignment="1" applyProtection="1">
      <alignment horizontal="right"/>
    </xf>
    <xf numFmtId="177" fontId="92" fillId="0" borderId="50" xfId="0" applyNumberFormat="1" applyFont="1" applyBorder="1" applyAlignment="1" applyProtection="1">
      <alignment horizontal="right"/>
    </xf>
    <xf numFmtId="177" fontId="92" fillId="0" borderId="50" xfId="0" quotePrefix="1" applyNumberFormat="1" applyFont="1" applyBorder="1" applyAlignment="1" applyProtection="1">
      <alignment horizontal="right"/>
    </xf>
    <xf numFmtId="0" fontId="92" fillId="0" borderId="52" xfId="0" applyFont="1" applyBorder="1" applyProtection="1"/>
    <xf numFmtId="0" fontId="91" fillId="0" borderId="52" xfId="0" applyFont="1" applyBorder="1" applyProtection="1"/>
    <xf numFmtId="174" fontId="91" fillId="0" borderId="52" xfId="0" applyNumberFormat="1" applyFont="1" applyFill="1" applyBorder="1" applyAlignment="1" applyProtection="1">
      <alignment horizontal="right"/>
    </xf>
    <xf numFmtId="177" fontId="92" fillId="0" borderId="52" xfId="0" applyNumberFormat="1" applyFont="1" applyBorder="1" applyAlignment="1" applyProtection="1">
      <alignment horizontal="right"/>
    </xf>
    <xf numFmtId="0" fontId="92" fillId="0" borderId="0" xfId="0" applyFont="1" applyBorder="1" applyAlignment="1">
      <alignment horizontal="center"/>
    </xf>
    <xf numFmtId="174" fontId="90" fillId="0" borderId="51" xfId="0" applyNumberFormat="1" applyFont="1" applyFill="1" applyBorder="1" applyProtection="1"/>
    <xf numFmtId="174" fontId="96" fillId="2" borderId="51" xfId="0" applyNumberFormat="1" applyFont="1" applyFill="1" applyBorder="1" applyProtection="1">
      <protection locked="0"/>
    </xf>
    <xf numFmtId="174" fontId="96" fillId="2" borderId="55" xfId="0" applyNumberFormat="1" applyFont="1" applyFill="1" applyBorder="1" applyProtection="1">
      <protection locked="0"/>
    </xf>
    <xf numFmtId="172" fontId="96" fillId="0" borderId="55" xfId="0" applyNumberFormat="1" applyFont="1" applyFill="1" applyBorder="1" applyProtection="1">
      <protection locked="0"/>
    </xf>
    <xf numFmtId="172" fontId="95" fillId="0" borderId="55" xfId="8" applyNumberFormat="1" applyFont="1" applyBorder="1" applyProtection="1"/>
    <xf numFmtId="172" fontId="116" fillId="2" borderId="55" xfId="6" applyNumberFormat="1" applyFont="1" applyFill="1" applyBorder="1" applyProtection="1">
      <protection locked="0"/>
    </xf>
    <xf numFmtId="172" fontId="116" fillId="2" borderId="55" xfId="6" applyNumberFormat="1" applyFont="1" applyFill="1" applyBorder="1" applyAlignment="1" applyProtection="1">
      <protection locked="0"/>
    </xf>
    <xf numFmtId="172" fontId="95" fillId="0" borderId="103" xfId="8" applyNumberFormat="1" applyFont="1" applyBorder="1" applyProtection="1"/>
    <xf numFmtId="172" fontId="116" fillId="2" borderId="103" xfId="6" applyNumberFormat="1" applyFont="1" applyFill="1" applyBorder="1" applyProtection="1">
      <protection locked="0"/>
    </xf>
    <xf numFmtId="0" fontId="94" fillId="0" borderId="110" xfId="8" applyFont="1" applyBorder="1" applyAlignment="1" applyProtection="1">
      <alignment horizontal="center" wrapText="1"/>
    </xf>
    <xf numFmtId="0" fontId="94" fillId="0" borderId="111" xfId="8" applyFont="1" applyBorder="1" applyAlignment="1" applyProtection="1">
      <alignment horizontal="center" wrapText="1"/>
    </xf>
    <xf numFmtId="44" fontId="95" fillId="66" borderId="111" xfId="6" applyFont="1" applyFill="1" applyBorder="1" applyAlignment="1" applyProtection="1">
      <alignment horizontal="center"/>
    </xf>
    <xf numFmtId="44" fontId="95" fillId="66" borderId="112" xfId="6" applyFont="1" applyFill="1" applyBorder="1" applyAlignment="1" applyProtection="1">
      <alignment horizontal="center"/>
    </xf>
    <xf numFmtId="172" fontId="117" fillId="0" borderId="0" xfId="8" quotePrefix="1" applyNumberFormat="1" applyFont="1" applyBorder="1" applyAlignment="1" applyProtection="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0" fontId="95" fillId="0" borderId="0" xfId="8" applyFont="1" applyBorder="1" applyProtection="1"/>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0" fontId="94" fillId="60" borderId="0" xfId="8" applyFont="1" applyFill="1" applyBorder="1" applyProtection="1"/>
    <xf numFmtId="44" fontId="95" fillId="60" borderId="0" xfId="6" applyFont="1" applyFill="1" applyBorder="1" applyProtection="1"/>
    <xf numFmtId="174" fontId="94" fillId="0" borderId="66" xfId="6" applyNumberFormat="1" applyFont="1" applyBorder="1" applyAlignment="1" applyProtection="1">
      <alignment horizontal="right"/>
    </xf>
    <xf numFmtId="172" fontId="94" fillId="0" borderId="66" xfId="8" applyNumberFormat="1" applyFont="1" applyBorder="1" applyProtection="1"/>
    <xf numFmtId="174" fontId="94" fillId="0" borderId="64" xfId="6" applyNumberFormat="1" applyFont="1" applyBorder="1" applyAlignment="1" applyProtection="1">
      <alignment horizontal="right"/>
    </xf>
    <xf numFmtId="172" fontId="95" fillId="0" borderId="113" xfId="8" applyNumberFormat="1" applyFont="1" applyBorder="1" applyProtection="1"/>
    <xf numFmtId="172" fontId="116" fillId="2" borderId="113" xfId="6" applyNumberFormat="1" applyFont="1" applyFill="1" applyBorder="1" applyProtection="1">
      <protection locked="0"/>
    </xf>
    <xf numFmtId="174" fontId="95" fillId="0" borderId="55" xfId="8" applyNumberFormat="1" applyFont="1" applyFill="1" applyBorder="1" applyProtection="1"/>
    <xf numFmtId="172" fontId="95" fillId="0" borderId="55" xfId="8" applyNumberFormat="1" applyFont="1" applyFill="1" applyBorder="1" applyProtection="1"/>
    <xf numFmtId="9" fontId="95" fillId="0" borderId="0" xfId="10" applyFont="1" applyBorder="1" applyProtection="1"/>
    <xf numFmtId="38" fontId="95" fillId="0" borderId="57" xfId="8" applyNumberFormat="1" applyFont="1" applyFill="1" applyBorder="1" applyProtection="1"/>
    <xf numFmtId="172" fontId="95" fillId="0" borderId="57" xfId="6" applyNumberFormat="1" applyFont="1" applyBorder="1" applyProtection="1"/>
    <xf numFmtId="175" fontId="95" fillId="0" borderId="103" xfId="6" applyNumberFormat="1" applyFont="1" applyFill="1" applyBorder="1" applyProtection="1"/>
    <xf numFmtId="175" fontId="95" fillId="0" borderId="103" xfId="6" applyNumberFormat="1" applyFont="1" applyFill="1" applyBorder="1" applyAlignment="1" applyProtection="1"/>
    <xf numFmtId="175" fontId="95" fillId="0" borderId="55" xfId="6" applyNumberFormat="1" applyFont="1" applyFill="1" applyBorder="1" applyProtection="1"/>
    <xf numFmtId="175" fontId="95" fillId="0" borderId="55" xfId="6" applyNumberFormat="1" applyFont="1" applyFill="1" applyBorder="1" applyAlignment="1" applyProtection="1"/>
    <xf numFmtId="175" fontId="95" fillId="0" borderId="113"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175" fontId="95" fillId="0" borderId="55" xfId="9" applyNumberFormat="1" applyFont="1" applyFill="1" applyBorder="1" applyProtection="1"/>
    <xf numFmtId="9" fontId="95" fillId="0" borderId="55" xfId="10" applyFont="1" applyFill="1" applyBorder="1" applyProtection="1"/>
    <xf numFmtId="175" fontId="95" fillId="0" borderId="55" xfId="10" applyNumberFormat="1" applyFont="1" applyFill="1" applyBorder="1" applyProtection="1"/>
    <xf numFmtId="44" fontId="95" fillId="0" borderId="55" xfId="8" applyNumberFormat="1" applyFont="1" applyFill="1" applyBorder="1" applyProtection="1"/>
    <xf numFmtId="38" fontId="95" fillId="0" borderId="67" xfId="8" applyNumberFormat="1" applyFont="1" applyFill="1" applyBorder="1" applyProtection="1"/>
    <xf numFmtId="175" fontId="95" fillId="0" borderId="67" xfId="9" applyNumberFormat="1" applyFont="1" applyFill="1" applyBorder="1" applyProtection="1"/>
    <xf numFmtId="175" fontId="95" fillId="0" borderId="66" xfId="6" applyNumberFormat="1" applyFont="1" applyFill="1" applyBorder="1" applyProtection="1"/>
    <xf numFmtId="172" fontId="95" fillId="2" borderId="103" xfId="8" applyNumberFormat="1" applyFont="1" applyFill="1" applyBorder="1" applyProtection="1">
      <protection locked="0"/>
    </xf>
    <xf numFmtId="172" fontId="116" fillId="2" borderId="55" xfId="8" applyNumberFormat="1" applyFont="1" applyFill="1" applyBorder="1" applyProtection="1">
      <protection locked="0"/>
    </xf>
    <xf numFmtId="172" fontId="95" fillId="2" borderId="55" xfId="8" applyNumberFormat="1" applyFont="1" applyFill="1" applyBorder="1" applyProtection="1">
      <protection locked="0"/>
    </xf>
    <xf numFmtId="173" fontId="95" fillId="0" borderId="57" xfId="8" applyNumberFormat="1" applyFont="1" applyBorder="1" applyProtection="1"/>
    <xf numFmtId="172" fontId="95" fillId="0" borderId="57" xfId="8" applyNumberFormat="1" applyFont="1" applyBorder="1" applyProtection="1"/>
    <xf numFmtId="38" fontId="95" fillId="0" borderId="103" xfId="6" applyNumberFormat="1" applyFont="1" applyBorder="1" applyProtection="1"/>
    <xf numFmtId="38" fontId="95" fillId="0" borderId="103" xfId="8" applyNumberFormat="1" applyFont="1" applyBorder="1" applyProtection="1"/>
    <xf numFmtId="38" fontId="95" fillId="0" borderId="113" xfId="6" applyNumberFormat="1" applyFont="1" applyBorder="1" applyProtection="1"/>
    <xf numFmtId="38" fontId="95" fillId="0" borderId="55" xfId="6" applyNumberFormat="1" applyFont="1" applyBorder="1" applyProtection="1"/>
    <xf numFmtId="38" fontId="95" fillId="0" borderId="55" xfId="8" applyNumberFormat="1" applyFont="1" applyBorder="1" applyProtection="1"/>
    <xf numFmtId="175" fontId="95" fillId="0" borderId="104" xfId="6" applyNumberFormat="1" applyFont="1" applyFill="1" applyBorder="1" applyAlignment="1" applyProtection="1">
      <alignment horizontal="right"/>
    </xf>
    <xf numFmtId="44" fontId="95" fillId="0" borderId="0" xfId="8" applyNumberFormat="1" applyFont="1" applyBorder="1" applyProtection="1"/>
    <xf numFmtId="44" fontId="95" fillId="0" borderId="0" xfId="6" applyFont="1" applyBorder="1" applyProtection="1"/>
    <xf numFmtId="172" fontId="95" fillId="0" borderId="103" xfId="6" applyNumberFormat="1" applyFont="1" applyBorder="1" applyProtection="1"/>
    <xf numFmtId="38" fontId="95" fillId="0" borderId="55" xfId="6" applyNumberFormat="1" applyFont="1" applyFill="1" applyBorder="1" applyProtection="1"/>
    <xf numFmtId="172" fontId="95" fillId="0" borderId="55" xfId="6" applyNumberFormat="1" applyFont="1" applyBorder="1" applyProtection="1"/>
    <xf numFmtId="38" fontId="94" fillId="0" borderId="104" xfId="6" applyNumberFormat="1" applyFont="1" applyBorder="1" applyProtection="1"/>
    <xf numFmtId="172" fontId="94" fillId="0" borderId="104" xfId="6" applyNumberFormat="1" applyFont="1" applyBorder="1" applyProtection="1"/>
    <xf numFmtId="38" fontId="95" fillId="0" borderId="67" xfId="8" applyNumberFormat="1" applyFont="1" applyBorder="1" applyProtection="1"/>
    <xf numFmtId="38" fontId="95" fillId="0" borderId="67" xfId="6" applyNumberFormat="1" applyFont="1" applyBorder="1" applyProtection="1"/>
    <xf numFmtId="174" fontId="91" fillId="0" borderId="0" xfId="0" applyNumberFormat="1" applyFont="1" applyBorder="1" applyAlignment="1" applyProtection="1">
      <alignment horizontal="right" vertical="top"/>
    </xf>
    <xf numFmtId="174" fontId="91" fillId="0" borderId="0" xfId="0" applyNumberFormat="1" applyFont="1" applyBorder="1" applyAlignment="1" applyProtection="1">
      <alignment horizontal="right"/>
    </xf>
    <xf numFmtId="174" fontId="92" fillId="60" borderId="6" xfId="0" applyNumberFormat="1" applyFont="1" applyFill="1" applyBorder="1" applyAlignment="1" applyProtection="1">
      <alignment horizontal="right"/>
    </xf>
    <xf numFmtId="0" fontId="107" fillId="63" borderId="1" xfId="0" applyFont="1" applyFill="1" applyBorder="1" applyAlignment="1" applyProtection="1">
      <alignment horizontal="right" vertical="top"/>
    </xf>
    <xf numFmtId="0" fontId="104" fillId="63" borderId="1"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172" fontId="96" fillId="70" borderId="42" xfId="0" applyNumberFormat="1" applyFont="1" applyFill="1" applyBorder="1" applyAlignment="1" applyProtection="1">
      <alignment horizontal="right" vertical="top"/>
      <protection locked="0"/>
    </xf>
    <xf numFmtId="172" fontId="96" fillId="70" borderId="43" xfId="0" applyNumberFormat="1" applyFont="1" applyFill="1" applyBorder="1" applyAlignment="1" applyProtection="1">
      <alignment horizontal="right" vertical="top"/>
      <protection locked="0"/>
    </xf>
    <xf numFmtId="172" fontId="96" fillId="70" borderId="74" xfId="0" applyNumberFormat="1" applyFont="1" applyFill="1" applyBorder="1" applyAlignment="1" applyProtection="1">
      <alignment horizontal="right" vertical="top"/>
      <protection locked="0"/>
    </xf>
    <xf numFmtId="172" fontId="90" fillId="70" borderId="43" xfId="0" applyNumberFormat="1" applyFont="1" applyFill="1" applyBorder="1" applyAlignment="1" applyProtection="1">
      <alignment horizontal="right" vertical="top"/>
      <protection locked="0"/>
    </xf>
    <xf numFmtId="172" fontId="90" fillId="70" borderId="74" xfId="0" applyNumberFormat="1" applyFont="1" applyFill="1" applyBorder="1" applyAlignment="1" applyProtection="1">
      <alignment horizontal="right" vertical="top"/>
      <protection locked="0"/>
    </xf>
    <xf numFmtId="172" fontId="90" fillId="70" borderId="3" xfId="0" applyNumberFormat="1" applyFont="1" applyFill="1" applyBorder="1" applyAlignment="1" applyProtection="1">
      <alignment horizontal="right" vertical="top"/>
      <protection locked="0"/>
    </xf>
    <xf numFmtId="172" fontId="90" fillId="70" borderId="44" xfId="0" applyNumberFormat="1" applyFont="1" applyFill="1" applyBorder="1" applyAlignment="1" applyProtection="1">
      <alignment horizontal="right" vertical="top"/>
      <protection locked="0"/>
    </xf>
    <xf numFmtId="172" fontId="90" fillId="70" borderId="39" xfId="0" applyNumberFormat="1" applyFont="1" applyFill="1" applyBorder="1" applyAlignment="1" applyProtection="1">
      <alignment horizontal="right" vertical="top"/>
      <protection locked="0"/>
    </xf>
    <xf numFmtId="172" fontId="90" fillId="0" borderId="47" xfId="13330" applyNumberFormat="1" applyFont="1" applyFill="1" applyBorder="1" applyAlignment="1">
      <alignment horizontal="right" vertical="top"/>
    </xf>
    <xf numFmtId="9" fontId="90" fillId="0" borderId="74" xfId="9" applyFont="1" applyFill="1" applyBorder="1" applyAlignment="1" applyProtection="1">
      <alignment horizontal="right" vertical="top"/>
      <protection locked="0"/>
    </xf>
    <xf numFmtId="9" fontId="90" fillId="0" borderId="63" xfId="9" applyFont="1" applyFill="1" applyBorder="1" applyAlignment="1" applyProtection="1">
      <alignment horizontal="right" vertical="top"/>
      <protection locked="0"/>
    </xf>
    <xf numFmtId="0" fontId="90" fillId="0" borderId="47" xfId="0" applyFont="1" applyFill="1" applyBorder="1" applyAlignment="1">
      <alignment horizontal="right"/>
    </xf>
    <xf numFmtId="172" fontId="90" fillId="0" borderId="74" xfId="9" applyNumberFormat="1" applyFont="1" applyFill="1" applyBorder="1" applyAlignment="1" applyProtection="1">
      <alignment horizontal="right" vertical="top"/>
    </xf>
    <xf numFmtId="172" fontId="96" fillId="0" borderId="74" xfId="9" applyNumberFormat="1" applyFont="1" applyFill="1" applyBorder="1" applyAlignment="1" applyProtection="1">
      <alignment horizontal="right" vertical="top"/>
      <protection locked="0"/>
    </xf>
    <xf numFmtId="172" fontId="96" fillId="0" borderId="63" xfId="9" applyNumberFormat="1" applyFont="1" applyFill="1" applyBorder="1" applyAlignment="1" applyProtection="1">
      <alignment horizontal="right" vertical="top"/>
      <protection locked="0"/>
    </xf>
    <xf numFmtId="172" fontId="90" fillId="0" borderId="47" xfId="9" applyNumberFormat="1" applyFont="1" applyFill="1" applyBorder="1" applyAlignment="1" applyProtection="1">
      <alignment horizontal="right" vertical="top"/>
    </xf>
    <xf numFmtId="172" fontId="91" fillId="0" borderId="1" xfId="0" applyNumberFormat="1" applyFont="1" applyFill="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Border="1" applyAlignment="1">
      <alignment horizontal="right" vertical="top"/>
    </xf>
    <xf numFmtId="172" fontId="91" fillId="0" borderId="57" xfId="0" applyNumberFormat="1" applyFont="1" applyFill="1" applyBorder="1" applyAlignment="1">
      <alignment horizontal="right" vertical="top"/>
    </xf>
    <xf numFmtId="165" fontId="91" fillId="0" borderId="0" xfId="0" applyNumberFormat="1" applyFont="1" applyAlignment="1" applyProtection="1">
      <alignment horizontal="right" vertical="top"/>
    </xf>
    <xf numFmtId="174" fontId="105" fillId="0" borderId="0" xfId="0" applyNumberFormat="1" applyFont="1" applyAlignment="1" applyProtection="1">
      <alignment horizontal="right" vertical="top"/>
    </xf>
    <xf numFmtId="0" fontId="104" fillId="0" borderId="70" xfId="0" applyFont="1" applyFill="1" applyBorder="1" applyAlignment="1" applyProtection="1">
      <alignment horizontal="center" vertical="top"/>
    </xf>
    <xf numFmtId="0" fontId="107" fillId="0" borderId="66" xfId="0" applyFont="1" applyFill="1" applyBorder="1" applyAlignment="1" applyProtection="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55" xfId="11" applyNumberFormat="1" applyFont="1" applyBorder="1" applyAlignment="1" applyProtection="1">
      <alignment horizontal="center" wrapText="1"/>
      <protection locked="0"/>
    </xf>
    <xf numFmtId="165" fontId="92" fillId="4" borderId="55" xfId="11" applyNumberFormat="1" applyFont="1" applyBorder="1" applyAlignment="1" applyProtection="1">
      <alignment horizontal="center"/>
      <protection locked="0"/>
    </xf>
    <xf numFmtId="0" fontId="91" fillId="0" borderId="57" xfId="0" applyFont="1" applyFill="1" applyBorder="1" applyAlignment="1" applyProtection="1">
      <alignment horizontal="center" vertical="top"/>
    </xf>
    <xf numFmtId="172" fontId="91" fillId="0" borderId="55" xfId="0" applyNumberFormat="1" applyFont="1" applyFill="1" applyBorder="1" applyAlignment="1" applyProtection="1">
      <alignment horizontal="center" vertical="top"/>
    </xf>
    <xf numFmtId="172" fontId="91" fillId="0" borderId="104" xfId="0" applyNumberFormat="1" applyFont="1" applyFill="1" applyBorder="1" applyAlignment="1" applyProtection="1">
      <alignment horizontal="center" vertical="top"/>
    </xf>
    <xf numFmtId="172" fontId="91" fillId="0" borderId="113" xfId="0" applyNumberFormat="1" applyFont="1" applyFill="1" applyBorder="1" applyAlignment="1" applyProtection="1">
      <alignment horizontal="center" vertical="top"/>
    </xf>
    <xf numFmtId="0" fontId="129" fillId="0" borderId="56" xfId="0" applyFont="1" applyFill="1" applyBorder="1" applyAlignment="1">
      <alignment horizontal="left" indent="1"/>
    </xf>
    <xf numFmtId="0" fontId="129" fillId="0" borderId="18" xfId="0" applyFont="1" applyBorder="1" applyAlignment="1">
      <alignment horizontal="left" indent="1"/>
    </xf>
    <xf numFmtId="44" fontId="91" fillId="0" borderId="0" xfId="33110" applyFont="1" applyFill="1" applyBorder="1"/>
    <xf numFmtId="174" fontId="92" fillId="0" borderId="0" xfId="0" applyNumberFormat="1" applyFont="1" applyFill="1" applyBorder="1"/>
    <xf numFmtId="174" fontId="92" fillId="0" borderId="0" xfId="33110" applyNumberFormat="1" applyFont="1" applyFill="1" applyBorder="1"/>
    <xf numFmtId="0" fontId="96" fillId="2" borderId="1" xfId="0" applyFont="1" applyFill="1" applyBorder="1" applyProtection="1">
      <protection locked="0"/>
    </xf>
    <xf numFmtId="172" fontId="90" fillId="0" borderId="1" xfId="0" applyNumberFormat="1" applyFont="1" applyFill="1" applyBorder="1"/>
    <xf numFmtId="0" fontId="96" fillId="2" borderId="57" xfId="0" applyFont="1" applyFill="1" applyBorder="1" applyProtection="1">
      <protection locked="0"/>
    </xf>
    <xf numFmtId="174" fontId="90" fillId="0" borderId="57" xfId="0" applyNumberFormat="1" applyFont="1" applyFill="1" applyBorder="1"/>
    <xf numFmtId="0" fontId="104" fillId="0" borderId="0" xfId="0" applyFont="1" applyFill="1" applyBorder="1" applyAlignment="1" applyProtection="1">
      <alignment horizontal="right" vertical="top"/>
    </xf>
    <xf numFmtId="172" fontId="91" fillId="0" borderId="1" xfId="0" applyNumberFormat="1" applyFont="1" applyFill="1" applyBorder="1" applyAlignment="1" applyProtection="1">
      <alignment horizontal="right" vertical="top"/>
    </xf>
    <xf numFmtId="172" fontId="90" fillId="0" borderId="52" xfId="0" applyNumberFormat="1" applyFont="1" applyFill="1" applyBorder="1" applyAlignment="1" applyProtection="1">
      <alignment horizontal="right" vertical="top"/>
    </xf>
    <xf numFmtId="0" fontId="92" fillId="0" borderId="47" xfId="0" applyFont="1" applyFill="1" applyBorder="1"/>
    <xf numFmtId="0" fontId="91" fillId="0" borderId="50" xfId="0" applyFont="1" applyFill="1" applyBorder="1"/>
    <xf numFmtId="174" fontId="91" fillId="0" borderId="50" xfId="0" applyNumberFormat="1" applyFont="1" applyFill="1" applyBorder="1" applyAlignment="1">
      <alignment horizontal="right"/>
    </xf>
    <xf numFmtId="0" fontId="91" fillId="0" borderId="50" xfId="0" applyFont="1" applyFill="1" applyBorder="1" applyAlignment="1">
      <alignment horizontal="right"/>
    </xf>
    <xf numFmtId="9" fontId="91" fillId="0" borderId="50" xfId="9" applyFont="1" applyFill="1" applyBorder="1" applyAlignment="1">
      <alignment horizontal="right" vertical="top"/>
    </xf>
    <xf numFmtId="0" fontId="92" fillId="0" borderId="52" xfId="0" applyFont="1" applyFill="1" applyBorder="1"/>
    <xf numFmtId="174" fontId="91" fillId="0" borderId="52" xfId="0" applyNumberFormat="1" applyFont="1" applyFill="1" applyBorder="1" applyAlignment="1">
      <alignment horizontal="right" vertical="top"/>
    </xf>
    <xf numFmtId="172" fontId="91" fillId="0" borderId="52" xfId="0" applyNumberFormat="1" applyFont="1" applyFill="1" applyBorder="1" applyAlignment="1">
      <alignment horizontal="right" vertical="top"/>
    </xf>
    <xf numFmtId="0" fontId="91" fillId="3" borderId="1" xfId="0" applyFont="1" applyFill="1" applyBorder="1" applyAlignment="1" applyProtection="1">
      <alignment wrapText="1"/>
    </xf>
    <xf numFmtId="0" fontId="100" fillId="0" borderId="47" xfId="7" applyFont="1" applyBorder="1" applyAlignment="1" applyProtection="1">
      <alignment horizontal="right" wrapText="1" indent="1"/>
    </xf>
    <xf numFmtId="0" fontId="91" fillId="0" borderId="47" xfId="0" applyFont="1" applyFill="1" applyBorder="1" applyAlignment="1" applyProtection="1">
      <alignment horizontal="right" vertical="top"/>
    </xf>
    <xf numFmtId="172" fontId="91" fillId="0" borderId="47" xfId="0" applyNumberFormat="1" applyFont="1" applyFill="1" applyBorder="1" applyAlignment="1" applyProtection="1">
      <alignment horizontal="right" vertical="top"/>
    </xf>
    <xf numFmtId="172" fontId="92" fillId="0" borderId="47" xfId="0" applyNumberFormat="1" applyFont="1" applyFill="1" applyBorder="1" applyAlignment="1" applyProtection="1">
      <alignment horizontal="right" vertical="top"/>
    </xf>
    <xf numFmtId="0" fontId="91" fillId="0" borderId="1" xfId="0" applyFont="1" applyFill="1" applyBorder="1" applyAlignment="1" applyProtection="1">
      <alignment horizontal="right" vertical="top"/>
    </xf>
    <xf numFmtId="172" fontId="96" fillId="2" borderId="67" xfId="0" applyNumberFormat="1" applyFont="1" applyFill="1" applyBorder="1" applyAlignment="1" applyProtection="1">
      <alignment horizontal="right" vertical="top"/>
      <protection locked="0"/>
    </xf>
    <xf numFmtId="172" fontId="96" fillId="2" borderId="55" xfId="0" applyNumberFormat="1" applyFont="1" applyFill="1" applyBorder="1" applyAlignment="1" applyProtection="1">
      <alignment horizontal="right" vertical="top"/>
      <protection locked="0"/>
    </xf>
    <xf numFmtId="172" fontId="96" fillId="2" borderId="113" xfId="0" applyNumberFormat="1" applyFont="1" applyFill="1" applyBorder="1" applyAlignment="1" applyProtection="1">
      <alignment horizontal="right" vertical="top"/>
      <protection locked="0"/>
    </xf>
    <xf numFmtId="174" fontId="92" fillId="3" borderId="0" xfId="0" applyNumberFormat="1" applyFont="1" applyFill="1" applyBorder="1" applyAlignment="1" applyProtection="1">
      <alignment horizontal="right"/>
    </xf>
    <xf numFmtId="174" fontId="91" fillId="0" borderId="55" xfId="0" applyNumberFormat="1" applyFont="1" applyBorder="1" applyAlignment="1">
      <alignment horizontal="right" vertical="top"/>
    </xf>
    <xf numFmtId="174" fontId="91" fillId="0" borderId="113" xfId="0" applyNumberFormat="1" applyFont="1" applyBorder="1" applyAlignment="1">
      <alignment horizontal="right" vertical="top"/>
    </xf>
    <xf numFmtId="0" fontId="100" fillId="0" borderId="52" xfId="7" applyFont="1" applyBorder="1" applyAlignment="1" applyProtection="1">
      <alignment horizontal="right" wrapText="1" indent="1"/>
    </xf>
    <xf numFmtId="0" fontId="107" fillId="0" borderId="52" xfId="0" applyFont="1" applyFill="1" applyBorder="1" applyAlignment="1" applyProtection="1">
      <alignment horizontal="right" vertical="top"/>
    </xf>
    <xf numFmtId="0" fontId="107" fillId="0" borderId="0" xfId="0" applyFont="1" applyFill="1" applyBorder="1" applyAlignment="1" applyProtection="1">
      <alignment horizontal="center" vertical="top"/>
      <protection locked="0"/>
    </xf>
    <xf numFmtId="0" fontId="92" fillId="0" borderId="1" xfId="0" applyFont="1" applyFill="1" applyBorder="1" applyAlignment="1" applyProtection="1">
      <alignment horizontal="center"/>
    </xf>
    <xf numFmtId="0" fontId="92" fillId="0" borderId="14" xfId="0" applyFont="1" applyFill="1" applyBorder="1" applyAlignment="1" applyProtection="1">
      <alignment horizontal="center"/>
    </xf>
    <xf numFmtId="172" fontId="91" fillId="0" borderId="0" xfId="0" applyNumberFormat="1" applyFont="1" applyFill="1" applyBorder="1" applyAlignment="1" applyProtection="1">
      <alignment horizontal="right"/>
    </xf>
    <xf numFmtId="173" fontId="91"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172" fontId="91" fillId="0" borderId="0" xfId="0" applyNumberFormat="1" applyFont="1" applyFill="1" applyAlignment="1" applyProtection="1">
      <alignment horizontal="right" vertical="top"/>
    </xf>
    <xf numFmtId="174" fontId="91" fillId="0" borderId="0" xfId="0" applyNumberFormat="1" applyFont="1" applyFill="1" applyAlignment="1" applyProtection="1">
      <alignment horizontal="right" vertical="top"/>
    </xf>
    <xf numFmtId="172" fontId="91" fillId="0" borderId="0" xfId="0" applyNumberFormat="1" applyFont="1" applyFill="1" applyBorder="1" applyAlignment="1" applyProtection="1">
      <alignment horizontal="right" vertical="top"/>
    </xf>
    <xf numFmtId="165" fontId="92" fillId="0" borderId="0" xfId="0" applyNumberFormat="1" applyFont="1" applyAlignment="1" applyProtection="1">
      <alignment horizontal="right" vertical="top"/>
    </xf>
    <xf numFmtId="174" fontId="92" fillId="0" borderId="6" xfId="0" applyNumberFormat="1" applyFont="1" applyBorder="1" applyAlignment="1" applyProtection="1">
      <alignment horizontal="right"/>
    </xf>
    <xf numFmtId="174" fontId="106" fillId="0" borderId="0" xfId="0" applyNumberFormat="1" applyFont="1" applyAlignment="1" applyProtection="1">
      <alignment horizontal="right"/>
    </xf>
    <xf numFmtId="174" fontId="105" fillId="0" borderId="0" xfId="0" applyNumberFormat="1" applyFont="1" applyAlignment="1" applyProtection="1">
      <alignment horizontal="right"/>
    </xf>
    <xf numFmtId="174" fontId="91" fillId="0" borderId="6" xfId="0" applyNumberFormat="1" applyFont="1" applyBorder="1" applyAlignment="1" applyProtection="1">
      <alignment horizontal="right"/>
    </xf>
    <xf numFmtId="165" fontId="106" fillId="0" borderId="0" xfId="0" applyNumberFormat="1" applyFont="1" applyAlignment="1" applyProtection="1">
      <alignment horizontal="right"/>
    </xf>
    <xf numFmtId="172" fontId="92" fillId="0" borderId="57" xfId="0" applyNumberFormat="1" applyFont="1" applyFill="1" applyBorder="1" applyAlignment="1" applyProtection="1">
      <alignment horizontal="right"/>
    </xf>
    <xf numFmtId="197" fontId="92" fillId="0" borderId="57" xfId="0" applyNumberFormat="1" applyFont="1" applyFill="1" applyBorder="1" applyAlignment="1" applyProtection="1">
      <alignment horizontal="right"/>
    </xf>
    <xf numFmtId="180" fontId="92" fillId="0" borderId="0" xfId="0" applyNumberFormat="1" applyFont="1" applyFill="1" applyAlignment="1" applyProtection="1">
      <alignment horizontal="right"/>
    </xf>
    <xf numFmtId="6" fontId="91" fillId="0" borderId="0" xfId="0" applyNumberFormat="1" applyFont="1" applyFill="1" applyBorder="1" applyAlignment="1" applyProtection="1">
      <alignment horizontal="right"/>
    </xf>
    <xf numFmtId="175" fontId="91" fillId="0" borderId="0" xfId="0" applyNumberFormat="1" applyFont="1" applyFill="1" applyBorder="1" applyAlignment="1" applyProtection="1">
      <alignment horizontal="right"/>
    </xf>
    <xf numFmtId="172" fontId="91" fillId="0" borderId="57" xfId="0" applyNumberFormat="1" applyFont="1" applyFill="1" applyBorder="1" applyAlignment="1" applyProtection="1">
      <alignment horizontal="right"/>
    </xf>
    <xf numFmtId="172" fontId="92" fillId="0" borderId="0" xfId="0" applyNumberFormat="1" applyFont="1" applyFill="1" applyAlignment="1" applyProtection="1">
      <alignment horizontal="right" vertical="top"/>
    </xf>
    <xf numFmtId="172" fontId="92" fillId="0" borderId="0" xfId="0" applyNumberFormat="1" applyFont="1" applyFill="1" applyBorder="1" applyAlignment="1" applyProtection="1">
      <alignment horizontal="right"/>
    </xf>
    <xf numFmtId="177" fontId="91" fillId="0" borderId="0" xfId="0" applyNumberFormat="1" applyFont="1" applyFill="1" applyAlignment="1" applyProtection="1">
      <alignment horizontal="right" vertical="top"/>
    </xf>
    <xf numFmtId="175" fontId="91" fillId="0" borderId="0" xfId="0" applyNumberFormat="1" applyFont="1" applyAlignment="1" applyProtection="1">
      <alignment horizontal="right" vertical="top"/>
    </xf>
    <xf numFmtId="175" fontId="92" fillId="0" borderId="6" xfId="0" applyNumberFormat="1" applyFont="1" applyFill="1" applyBorder="1" applyAlignment="1" applyProtection="1">
      <alignment horizontal="right"/>
    </xf>
    <xf numFmtId="165" fontId="105" fillId="0" borderId="0" xfId="0" applyNumberFormat="1" applyFont="1" applyAlignment="1" applyProtection="1">
      <alignment horizontal="right"/>
    </xf>
    <xf numFmtId="6" fontId="91" fillId="0" borderId="0" xfId="0" applyNumberFormat="1" applyFont="1" applyAlignment="1" applyProtection="1">
      <alignment horizontal="right"/>
    </xf>
    <xf numFmtId="177" fontId="91" fillId="0" borderId="0" xfId="0" applyNumberFormat="1" applyFont="1" applyAlignment="1" applyProtection="1">
      <alignment horizontal="right" vertical="top"/>
    </xf>
    <xf numFmtId="172" fontId="91" fillId="0" borderId="0" xfId="0" applyNumberFormat="1" applyFont="1" applyAlignment="1" applyProtection="1">
      <alignment horizontal="right" vertical="top"/>
    </xf>
    <xf numFmtId="179" fontId="92" fillId="0" borderId="6" xfId="0" applyNumberFormat="1" applyFont="1" applyBorder="1" applyAlignment="1" applyProtection="1">
      <alignment horizontal="right"/>
    </xf>
    <xf numFmtId="180" fontId="106" fillId="0" borderId="0" xfId="0" applyNumberFormat="1" applyFont="1" applyAlignment="1" applyProtection="1">
      <alignment horizontal="right"/>
    </xf>
    <xf numFmtId="165" fontId="91" fillId="0" borderId="0" xfId="0" applyNumberFormat="1" applyFont="1" applyFill="1" applyAlignment="1" applyProtection="1">
      <alignment horizontal="right"/>
    </xf>
    <xf numFmtId="201" fontId="91" fillId="0" borderId="66" xfId="0" applyNumberFormat="1" applyFont="1" applyBorder="1" applyAlignment="1" applyProtection="1">
      <alignment horizontal="right"/>
    </xf>
    <xf numFmtId="172" fontId="91" fillId="2" borderId="114" xfId="0" applyNumberFormat="1" applyFont="1" applyFill="1" applyBorder="1" applyAlignment="1" applyProtection="1">
      <alignment horizontal="right"/>
      <protection locked="0"/>
    </xf>
    <xf numFmtId="0" fontId="91" fillId="0" borderId="0" xfId="0" applyFont="1" applyBorder="1" applyAlignment="1" applyProtection="1">
      <alignment horizontal="left" wrapText="1"/>
    </xf>
    <xf numFmtId="174" fontId="91" fillId="0" borderId="0" xfId="0" applyNumberFormat="1" applyFont="1" applyBorder="1" applyAlignment="1" applyProtection="1">
      <alignment horizontal="right" wrapText="1"/>
    </xf>
    <xf numFmtId="172" fontId="91" fillId="0" borderId="0" xfId="0" applyNumberFormat="1" applyFont="1" applyBorder="1" applyAlignment="1" applyProtection="1">
      <alignment horizontal="right"/>
    </xf>
    <xf numFmtId="172" fontId="96" fillId="2" borderId="103" xfId="0" applyNumberFormat="1" applyFont="1" applyFill="1" applyBorder="1" applyAlignment="1" applyProtection="1">
      <alignment horizontal="right" wrapText="1"/>
      <protection locked="0"/>
    </xf>
    <xf numFmtId="190" fontId="96" fillId="4" borderId="115" xfId="11" applyNumberFormat="1" applyFont="1" applyBorder="1" applyAlignment="1" applyProtection="1">
      <alignment horizontal="center"/>
      <protection locked="0"/>
    </xf>
    <xf numFmtId="0" fontId="91" fillId="0" borderId="57" xfId="0" quotePrefix="1" applyFont="1" applyBorder="1" applyProtection="1"/>
    <xf numFmtId="172" fontId="91" fillId="0" borderId="57" xfId="0" applyNumberFormat="1" applyFont="1" applyBorder="1" applyAlignment="1" applyProtection="1">
      <alignment horizontal="right" wrapText="1"/>
    </xf>
    <xf numFmtId="172" fontId="96" fillId="2" borderId="104" xfId="0" applyNumberFormat="1" applyFont="1" applyFill="1" applyBorder="1" applyAlignment="1" applyProtection="1">
      <alignment horizontal="right" wrapText="1"/>
      <protection locked="0"/>
    </xf>
    <xf numFmtId="0" fontId="92" fillId="0" borderId="57" xfId="0" applyFont="1" applyFill="1" applyBorder="1" applyProtection="1"/>
    <xf numFmtId="174" fontId="92" fillId="0" borderId="57" xfId="0" applyNumberFormat="1" applyFont="1" applyBorder="1" applyProtection="1"/>
    <xf numFmtId="174" fontId="96" fillId="2" borderId="55" xfId="0" applyNumberFormat="1" applyFont="1" applyFill="1" applyBorder="1" applyAlignment="1" applyProtection="1">
      <alignment horizontal="right"/>
      <protection locked="0"/>
    </xf>
    <xf numFmtId="172" fontId="96" fillId="2" borderId="55" xfId="0" applyNumberFormat="1" applyFont="1" applyFill="1" applyBorder="1" applyAlignment="1" applyProtection="1">
      <alignment horizontal="right"/>
      <protection locked="0"/>
    </xf>
    <xf numFmtId="172" fontId="96" fillId="2" borderId="113" xfId="0" applyNumberFormat="1" applyFont="1" applyFill="1" applyBorder="1" applyAlignment="1" applyProtection="1">
      <alignment horizontal="right"/>
      <protection locked="0"/>
    </xf>
    <xf numFmtId="0" fontId="91" fillId="3" borderId="76" xfId="0" applyFont="1" applyFill="1" applyBorder="1"/>
    <xf numFmtId="0" fontId="91" fillId="3" borderId="52" xfId="0" applyFont="1" applyFill="1" applyBorder="1"/>
    <xf numFmtId="0" fontId="91" fillId="0" borderId="52" xfId="0" applyFont="1" applyBorder="1"/>
    <xf numFmtId="0" fontId="90" fillId="0" borderId="104" xfId="0" applyFont="1" applyFill="1" applyBorder="1" applyAlignment="1" applyProtection="1">
      <alignment horizontal="center" vertical="top"/>
    </xf>
    <xf numFmtId="175" fontId="92" fillId="0" borderId="66" xfId="0" applyNumberFormat="1" applyFont="1" applyBorder="1" applyAlignment="1">
      <alignment horizontal="center" vertical="top"/>
    </xf>
    <xf numFmtId="0" fontId="129" fillId="0" borderId="0" xfId="0" applyFont="1" applyAlignment="1">
      <alignment horizontal="center"/>
    </xf>
    <xf numFmtId="175" fontId="92" fillId="0" borderId="66" xfId="0" applyNumberFormat="1" applyFont="1" applyBorder="1" applyAlignment="1">
      <alignment horizontal="right" vertical="top"/>
    </xf>
    <xf numFmtId="0" fontId="92" fillId="0" borderId="116" xfId="0" applyFont="1" applyBorder="1"/>
    <xf numFmtId="175" fontId="91" fillId="0" borderId="0" xfId="0" applyNumberFormat="1" applyFont="1" applyAlignment="1">
      <alignment horizontal="center" vertical="top"/>
    </xf>
    <xf numFmtId="175" fontId="92" fillId="0" borderId="0" xfId="0" applyNumberFormat="1" applyFont="1" applyAlignment="1" applyProtection="1">
      <alignment horizontal="right" vertical="top"/>
    </xf>
    <xf numFmtId="202" fontId="91" fillId="0" borderId="0" xfId="0" applyNumberFormat="1" applyFont="1" applyFill="1" applyBorder="1" applyAlignment="1" applyProtection="1">
      <alignment horizontal="center"/>
    </xf>
    <xf numFmtId="172" fontId="96" fillId="0" borderId="76" xfId="0" applyNumberFormat="1" applyFont="1" applyFill="1" applyBorder="1" applyAlignment="1" applyProtection="1">
      <alignment horizontal="right" vertical="top"/>
    </xf>
    <xf numFmtId="172" fontId="90" fillId="0" borderId="76" xfId="0" applyNumberFormat="1" applyFont="1" applyFill="1" applyBorder="1" applyAlignment="1" applyProtection="1">
      <alignment horizontal="right" vertical="top"/>
    </xf>
    <xf numFmtId="201" fontId="107" fillId="0" borderId="0" xfId="0" applyNumberFormat="1" applyFont="1" applyFill="1" applyBorder="1" applyAlignment="1" applyProtection="1">
      <alignment horizontal="right" vertical="top"/>
    </xf>
    <xf numFmtId="174" fontId="107" fillId="0" borderId="52" xfId="0" applyNumberFormat="1" applyFont="1" applyFill="1" applyBorder="1" applyAlignment="1" applyProtection="1">
      <alignment horizontal="center" vertical="top"/>
    </xf>
    <xf numFmtId="174" fontId="107" fillId="0" borderId="47" xfId="0" applyNumberFormat="1" applyFont="1" applyFill="1" applyBorder="1" applyAlignment="1" applyProtection="1">
      <alignment horizontal="center" vertical="top"/>
    </xf>
    <xf numFmtId="172" fontId="107" fillId="0" borderId="52" xfId="0" applyNumberFormat="1" applyFont="1" applyFill="1" applyBorder="1" applyAlignment="1" applyProtection="1">
      <alignment horizontal="right" vertical="top"/>
    </xf>
    <xf numFmtId="174" fontId="107" fillId="0" borderId="47" xfId="0" applyNumberFormat="1" applyFont="1" applyFill="1" applyBorder="1" applyAlignment="1" applyProtection="1">
      <alignment horizontal="right" vertical="top"/>
    </xf>
    <xf numFmtId="172" fontId="107" fillId="0" borderId="47" xfId="0" applyNumberFormat="1" applyFont="1" applyFill="1" applyBorder="1" applyAlignment="1" applyProtection="1">
      <alignment horizontal="right" vertical="top"/>
    </xf>
    <xf numFmtId="0" fontId="91" fillId="0" borderId="47" xfId="0" applyFont="1" applyBorder="1" applyProtection="1"/>
    <xf numFmtId="0" fontId="107" fillId="3" borderId="47" xfId="0" applyFont="1" applyFill="1" applyBorder="1" applyProtection="1"/>
    <xf numFmtId="0" fontId="118" fillId="2" borderId="47" xfId="0" applyFont="1" applyFill="1" applyBorder="1" applyAlignment="1" applyProtection="1">
      <alignment horizontal="center"/>
      <protection locked="0"/>
    </xf>
    <xf numFmtId="0" fontId="104" fillId="0" borderId="0" xfId="6628" applyFont="1" applyFill="1" applyAlignment="1" applyProtection="1"/>
    <xf numFmtId="0" fontId="96" fillId="2" borderId="104" xfId="0" applyFont="1" applyFill="1" applyBorder="1" applyAlignment="1" applyProtection="1">
      <alignment horizontal="center" vertical="top"/>
      <protection locked="0"/>
    </xf>
    <xf numFmtId="0" fontId="91" fillId="0" borderId="76" xfId="0" applyFont="1" applyBorder="1"/>
    <xf numFmtId="172" fontId="91" fillId="3" borderId="113" xfId="13330" applyNumberFormat="1" applyFont="1" applyFill="1" applyBorder="1" applyAlignment="1">
      <alignment horizontal="center" vertical="top"/>
    </xf>
    <xf numFmtId="173" fontId="92" fillId="0" borderId="57" xfId="0" applyNumberFormat="1" applyFont="1" applyFill="1" applyBorder="1" applyAlignment="1">
      <alignment horizontal="right" vertical="top"/>
    </xf>
    <xf numFmtId="0" fontId="92" fillId="0" borderId="1" xfId="0" applyFont="1" applyFill="1" applyBorder="1" applyProtection="1"/>
    <xf numFmtId="0" fontId="91" fillId="0" borderId="1" xfId="0" applyFont="1" applyBorder="1" applyProtection="1"/>
    <xf numFmtId="0" fontId="92" fillId="62" borderId="0" xfId="0" applyFont="1" applyFill="1" applyAlignment="1">
      <alignment horizontal="left"/>
    </xf>
    <xf numFmtId="10" fontId="91" fillId="3" borderId="0" xfId="9" quotePrefix="1" applyNumberFormat="1" applyFont="1" applyFill="1" applyBorder="1" applyAlignment="1">
      <alignment horizontal="center" vertical="top"/>
    </xf>
    <xf numFmtId="0" fontId="106" fillId="0" borderId="0" xfId="0" applyFont="1" applyBorder="1" applyAlignment="1" applyProtection="1">
      <alignment horizontal="left"/>
    </xf>
    <xf numFmtId="175" fontId="92" fillId="0" borderId="0" xfId="0" applyNumberFormat="1" applyFont="1" applyBorder="1" applyAlignment="1" applyProtection="1">
      <alignment horizontal="center"/>
    </xf>
    <xf numFmtId="174" fontId="96" fillId="2" borderId="0" xfId="0" applyNumberFormat="1" applyFont="1" applyFill="1" applyBorder="1" applyAlignment="1" applyProtection="1">
      <alignment horizontal="right"/>
      <protection locked="0"/>
    </xf>
    <xf numFmtId="0" fontId="145" fillId="0" borderId="0" xfId="0" applyFont="1" applyAlignment="1">
      <alignment wrapText="1"/>
    </xf>
    <xf numFmtId="174" fontId="92" fillId="0" borderId="0" xfId="0" applyNumberFormat="1" applyFont="1" applyBorder="1" applyAlignment="1" applyProtection="1">
      <alignment horizontal="center"/>
    </xf>
    <xf numFmtId="175" fontId="92" fillId="0" borderId="66" xfId="0" applyNumberFormat="1" applyFont="1" applyBorder="1" applyAlignment="1" applyProtection="1">
      <alignment horizontal="center" vertical="top"/>
    </xf>
    <xf numFmtId="43" fontId="101" fillId="4" borderId="3" xfId="4" applyNumberFormat="1" applyFont="1" applyFill="1" applyBorder="1" applyAlignment="1" applyProtection="1">
      <alignment horizontal="center"/>
      <protection locked="0"/>
    </xf>
    <xf numFmtId="43" fontId="101" fillId="4" borderId="3" xfId="4" applyNumberFormat="1" applyFont="1" applyFill="1" applyBorder="1" applyAlignment="1" applyProtection="1">
      <alignment horizontal="right"/>
      <protection locked="0"/>
    </xf>
    <xf numFmtId="172" fontId="91" fillId="0" borderId="1" xfId="0" applyNumberFormat="1" applyFont="1" applyFill="1" applyBorder="1" applyAlignment="1" applyProtection="1">
      <alignment horizontal="right"/>
    </xf>
    <xf numFmtId="172" fontId="91" fillId="0" borderId="0" xfId="0" quotePrefix="1" applyNumberFormat="1" applyFont="1" applyFill="1" applyBorder="1" applyAlignment="1" applyProtection="1">
      <alignment horizontal="right"/>
    </xf>
    <xf numFmtId="0" fontId="91" fillId="0" borderId="0" xfId="0" applyFont="1" applyFill="1" applyBorder="1" applyAlignment="1" applyProtection="1">
      <alignment horizontal="right"/>
    </xf>
    <xf numFmtId="164" fontId="91" fillId="0" borderId="0" xfId="0" applyNumberFormat="1" applyFont="1" applyFill="1" applyBorder="1" applyAlignment="1" applyProtection="1">
      <alignment horizontal="right"/>
    </xf>
    <xf numFmtId="172" fontId="92" fillId="0" borderId="57" xfId="0" applyNumberFormat="1" applyFont="1" applyBorder="1" applyAlignment="1" applyProtection="1">
      <alignment horizontal="right"/>
    </xf>
    <xf numFmtId="172" fontId="92" fillId="0" borderId="57" xfId="0" applyNumberFormat="1" applyFont="1" applyBorder="1" applyAlignment="1">
      <alignment horizontal="right"/>
    </xf>
    <xf numFmtId="43" fontId="91" fillId="0" borderId="0" xfId="0" applyNumberFormat="1" applyFont="1" applyFill="1" applyBorder="1" applyAlignment="1" applyProtection="1">
      <alignment horizontal="right"/>
    </xf>
    <xf numFmtId="175" fontId="105" fillId="0" borderId="0" xfId="9" applyNumberFormat="1" applyFont="1" applyAlignment="1" applyProtection="1">
      <alignment horizontal="right"/>
    </xf>
    <xf numFmtId="0" fontId="91" fillId="64" borderId="0" xfId="0" applyFont="1" applyFill="1" applyAlignment="1">
      <alignment wrapText="1"/>
    </xf>
    <xf numFmtId="0" fontId="106" fillId="0" borderId="66" xfId="0" applyFont="1" applyBorder="1" applyAlignment="1" applyProtection="1">
      <alignment horizontal="left"/>
    </xf>
    <xf numFmtId="174" fontId="92" fillId="0" borderId="66" xfId="0" applyNumberFormat="1" applyFont="1" applyBorder="1" applyAlignment="1" applyProtection="1">
      <alignment horizontal="center"/>
    </xf>
    <xf numFmtId="175" fontId="92" fillId="0" borderId="66" xfId="0" applyNumberFormat="1" applyFont="1" applyBorder="1" applyAlignment="1" applyProtection="1">
      <alignment horizontal="center"/>
    </xf>
    <xf numFmtId="174" fontId="101" fillId="0" borderId="0" xfId="0" applyNumberFormat="1" applyFont="1" applyBorder="1" applyAlignment="1" applyProtection="1">
      <alignment horizontal="center"/>
    </xf>
    <xf numFmtId="175" fontId="101" fillId="0" borderId="0" xfId="0" applyNumberFormat="1" applyFont="1" applyBorder="1" applyAlignment="1" applyProtection="1">
      <alignment horizontal="center"/>
    </xf>
    <xf numFmtId="174" fontId="91" fillId="0" borderId="0" xfId="0" applyNumberFormat="1" applyFont="1" applyAlignment="1" applyProtection="1">
      <alignment horizontal="right" vertical="top"/>
    </xf>
    <xf numFmtId="203" fontId="92" fillId="0" borderId="57" xfId="0" applyNumberFormat="1" applyFont="1" applyBorder="1" applyAlignment="1" applyProtection="1">
      <alignment horizontal="right"/>
    </xf>
    <xf numFmtId="0" fontId="91" fillId="0" borderId="57" xfId="0" applyFont="1" applyFill="1" applyBorder="1"/>
    <xf numFmtId="0" fontId="91" fillId="0" borderId="57" xfId="0" applyFont="1" applyFill="1" applyBorder="1" applyProtection="1"/>
    <xf numFmtId="203" fontId="91" fillId="0" borderId="57" xfId="0" applyNumberFormat="1" applyFont="1" applyFill="1" applyBorder="1"/>
    <xf numFmtId="0" fontId="102" fillId="0" borderId="1" xfId="0" applyFont="1" applyFill="1" applyBorder="1"/>
    <xf numFmtId="165" fontId="91" fillId="0" borderId="0" xfId="0" quotePrefix="1" applyNumberFormat="1" applyFont="1" applyAlignment="1" applyProtection="1">
      <alignment horizontal="right" vertical="top"/>
    </xf>
    <xf numFmtId="0" fontId="91" fillId="0" borderId="47" xfId="0" quotePrefix="1" applyFont="1" applyFill="1" applyBorder="1" applyProtection="1"/>
    <xf numFmtId="0" fontId="0" fillId="2" borderId="47" xfId="0" applyFill="1" applyBorder="1" applyProtection="1">
      <protection locked="0"/>
    </xf>
    <xf numFmtId="0" fontId="104" fillId="0" borderId="0" xfId="0" applyFont="1" applyAlignment="1">
      <alignment horizontal="center"/>
    </xf>
    <xf numFmtId="0" fontId="104" fillId="0" borderId="1" xfId="0" applyFont="1" applyBorder="1" applyAlignment="1">
      <alignment horizontal="center"/>
    </xf>
    <xf numFmtId="0" fontId="104" fillId="0" borderId="1" xfId="0" applyFont="1" applyBorder="1" applyAlignment="1">
      <alignment horizontal="left"/>
    </xf>
    <xf numFmtId="172" fontId="91" fillId="2" borderId="55" xfId="0" applyNumberFormat="1" applyFont="1" applyFill="1" applyBorder="1" applyAlignment="1" applyProtection="1">
      <alignment horizontal="center"/>
      <protection locked="0"/>
    </xf>
    <xf numFmtId="172" fontId="91" fillId="2" borderId="55" xfId="0" applyNumberFormat="1" applyFont="1" applyFill="1" applyBorder="1" applyAlignment="1" applyProtection="1">
      <alignment horizontal="center" vertical="top"/>
      <protection locked="0"/>
    </xf>
    <xf numFmtId="174" fontId="96" fillId="2" borderId="0" xfId="0" applyNumberFormat="1" applyFont="1" applyFill="1" applyAlignment="1" applyProtection="1">
      <alignment horizontal="right" vertical="top"/>
      <protection locked="0"/>
    </xf>
    <xf numFmtId="172" fontId="96" fillId="2" borderId="47" xfId="0" applyNumberFormat="1" applyFont="1" applyFill="1" applyBorder="1" applyAlignment="1" applyProtection="1">
      <alignment horizontal="right" vertical="top"/>
      <protection locked="0"/>
    </xf>
    <xf numFmtId="174" fontId="96" fillId="4" borderId="47" xfId="11" applyNumberFormat="1" applyFont="1" applyBorder="1" applyAlignment="1" applyProtection="1">
      <alignment horizontal="right" vertical="top"/>
      <protection locked="0"/>
    </xf>
    <xf numFmtId="172" fontId="91" fillId="2" borderId="47" xfId="0" applyNumberFormat="1" applyFont="1" applyFill="1" applyBorder="1" applyAlignment="1" applyProtection="1">
      <alignment horizontal="right" vertical="top"/>
      <protection locked="0"/>
    </xf>
    <xf numFmtId="172" fontId="91" fillId="2" borderId="104" xfId="0" applyNumberFormat="1" applyFont="1" applyFill="1" applyBorder="1" applyAlignment="1" applyProtection="1">
      <alignment horizontal="right"/>
      <protection locked="0"/>
    </xf>
    <xf numFmtId="10" fontId="96" fillId="4" borderId="55" xfId="11" applyNumberFormat="1" applyFont="1" applyBorder="1" applyAlignment="1" applyProtection="1">
      <alignment horizontal="center" vertical="top"/>
      <protection locked="0"/>
    </xf>
    <xf numFmtId="173" fontId="91" fillId="2" borderId="55" xfId="0" applyNumberFormat="1" applyFont="1" applyFill="1" applyBorder="1" applyAlignment="1" applyProtection="1">
      <alignment horizontal="center" vertical="top"/>
      <protection locked="0"/>
    </xf>
    <xf numFmtId="173" fontId="91" fillId="2" borderId="104" xfId="0" applyNumberFormat="1" applyFont="1" applyFill="1" applyBorder="1" applyAlignment="1" applyProtection="1">
      <alignment horizontal="center" vertical="top"/>
      <protection locked="0"/>
    </xf>
    <xf numFmtId="173" fontId="91" fillId="2" borderId="113" xfId="0" applyNumberFormat="1" applyFont="1" applyFill="1" applyBorder="1" applyAlignment="1" applyProtection="1">
      <alignment horizontal="center" vertical="top"/>
      <protection locked="0"/>
    </xf>
    <xf numFmtId="172" fontId="96" fillId="2" borderId="104" xfId="0" applyNumberFormat="1" applyFont="1" applyFill="1" applyBorder="1" applyAlignment="1" applyProtection="1">
      <alignment horizontal="right"/>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66" xfId="0" applyNumberFormat="1" applyFont="1" applyBorder="1" applyAlignment="1" applyProtection="1">
      <alignment horizontal="center" vertical="top"/>
    </xf>
    <xf numFmtId="174" fontId="91" fillId="0" borderId="0" xfId="0" applyNumberFormat="1" applyFont="1" applyAlignment="1" applyProtection="1">
      <alignment horizontal="center" vertical="top"/>
    </xf>
    <xf numFmtId="174" fontId="105" fillId="0" borderId="0" xfId="0" applyNumberFormat="1" applyFont="1" applyAlignment="1" applyProtection="1">
      <alignment horizontal="center"/>
    </xf>
    <xf numFmtId="174" fontId="91" fillId="0" borderId="0" xfId="0" applyNumberFormat="1" applyFont="1" applyAlignment="1" applyProtection="1">
      <alignment horizontal="center"/>
    </xf>
    <xf numFmtId="175" fontId="106" fillId="0" borderId="0" xfId="0" applyNumberFormat="1" applyFont="1" applyAlignment="1" applyProtection="1">
      <alignment horizontal="right"/>
    </xf>
    <xf numFmtId="204" fontId="92" fillId="0" borderId="6" xfId="0" applyNumberFormat="1" applyFont="1" applyBorder="1" applyAlignment="1" applyProtection="1">
      <alignment horizontal="center"/>
    </xf>
    <xf numFmtId="204" fontId="92" fillId="0" borderId="6" xfId="0" applyNumberFormat="1" applyFont="1" applyBorder="1" applyAlignment="1" applyProtection="1">
      <alignment horizontal="right"/>
    </xf>
    <xf numFmtId="205" fontId="91" fillId="0" borderId="0" xfId="0" applyNumberFormat="1" applyFont="1" applyFill="1" applyBorder="1" applyAlignment="1" applyProtection="1">
      <alignment horizontal="center"/>
    </xf>
    <xf numFmtId="205" fontId="91" fillId="0" borderId="57" xfId="0" applyNumberFormat="1" applyFont="1" applyFill="1" applyBorder="1" applyAlignment="1" applyProtection="1">
      <alignment horizontal="center"/>
    </xf>
    <xf numFmtId="205" fontId="91" fillId="0" borderId="1" xfId="0" applyNumberFormat="1" applyFont="1" applyFill="1" applyBorder="1" applyAlignment="1" applyProtection="1">
      <alignment horizontal="center"/>
    </xf>
    <xf numFmtId="205" fontId="91" fillId="0" borderId="66" xfId="0" applyNumberFormat="1" applyFont="1" applyFill="1" applyBorder="1" applyAlignment="1" applyProtection="1">
      <alignment horizontal="center"/>
    </xf>
    <xf numFmtId="206" fontId="91" fillId="0" borderId="0" xfId="0" applyNumberFormat="1" applyFont="1" applyFill="1" applyBorder="1" applyAlignment="1" applyProtection="1">
      <alignment horizontal="center"/>
    </xf>
    <xf numFmtId="0" fontId="92" fillId="63" borderId="66" xfId="0" applyFont="1" applyFill="1" applyBorder="1" applyAlignment="1">
      <alignment horizontal="right"/>
    </xf>
    <xf numFmtId="0" fontId="92" fillId="63" borderId="66" xfId="0" applyFont="1" applyFill="1" applyBorder="1" applyAlignment="1">
      <alignment horizontal="right" wrapText="1"/>
    </xf>
    <xf numFmtId="0" fontId="92" fillId="63" borderId="58" xfId="0" applyFont="1" applyFill="1" applyBorder="1" applyAlignment="1">
      <alignment horizontal="center" wrapText="1"/>
    </xf>
    <xf numFmtId="0" fontId="92" fillId="63" borderId="0" xfId="0" applyFont="1" applyFill="1"/>
    <xf numFmtId="0" fontId="91" fillId="63" borderId="0" xfId="0" applyFont="1" applyFill="1" applyBorder="1"/>
    <xf numFmtId="0" fontId="92" fillId="64" borderId="70" xfId="0" applyFont="1" applyFill="1" applyBorder="1" applyAlignment="1" applyProtection="1">
      <alignment horizontal="right"/>
    </xf>
    <xf numFmtId="195" fontId="92" fillId="64" borderId="66" xfId="0" applyNumberFormat="1" applyFont="1" applyFill="1" applyBorder="1" applyAlignment="1" applyProtection="1">
      <alignment horizontal="right"/>
    </xf>
    <xf numFmtId="0" fontId="92" fillId="64" borderId="105" xfId="0" applyFont="1" applyFill="1" applyBorder="1" applyAlignment="1" applyProtection="1">
      <alignment horizontal="right"/>
    </xf>
    <xf numFmtId="0" fontId="92" fillId="64" borderId="106" xfId="0" applyFont="1" applyFill="1" applyBorder="1" applyAlignment="1" applyProtection="1">
      <alignment horizontal="right"/>
    </xf>
    <xf numFmtId="0" fontId="92" fillId="64" borderId="107" xfId="0" applyFont="1" applyFill="1" applyBorder="1" applyAlignment="1" applyProtection="1">
      <alignment horizontal="right"/>
    </xf>
    <xf numFmtId="0" fontId="92" fillId="64" borderId="15" xfId="0" applyFont="1" applyFill="1" applyBorder="1" applyAlignment="1" applyProtection="1">
      <alignment horizontal="right"/>
    </xf>
    <xf numFmtId="0" fontId="92" fillId="64" borderId="1" xfId="0" applyFont="1" applyFill="1" applyBorder="1" applyAlignment="1" applyProtection="1">
      <alignment horizontal="right"/>
    </xf>
    <xf numFmtId="0" fontId="92" fillId="64" borderId="14" xfId="0" applyFont="1" applyFill="1" applyBorder="1" applyAlignment="1" applyProtection="1">
      <alignment horizontal="right"/>
    </xf>
    <xf numFmtId="0" fontId="102" fillId="63" borderId="66" xfId="7" applyFont="1" applyFill="1" applyBorder="1" applyAlignment="1" applyProtection="1">
      <alignment horizontal="left" wrapText="1" indent="1"/>
    </xf>
    <xf numFmtId="0" fontId="104" fillId="63" borderId="66" xfId="0" applyFont="1" applyFill="1" applyBorder="1" applyAlignment="1" applyProtection="1">
      <alignment horizontal="center" vertical="top"/>
    </xf>
    <xf numFmtId="0" fontId="107" fillId="63" borderId="66" xfId="0" applyFont="1" applyFill="1" applyBorder="1" applyAlignment="1" applyProtection="1">
      <alignment horizontal="center" vertical="top"/>
    </xf>
    <xf numFmtId="0" fontId="92" fillId="64" borderId="70" xfId="0" applyFont="1" applyFill="1" applyBorder="1" applyAlignment="1" applyProtection="1">
      <alignment horizontal="center"/>
    </xf>
    <xf numFmtId="0" fontId="92" fillId="0" borderId="52" xfId="0" applyFont="1" applyFill="1" applyBorder="1" applyProtection="1"/>
    <xf numFmtId="0" fontId="91" fillId="0" borderId="52" xfId="0" applyFont="1" applyFill="1" applyBorder="1" applyProtection="1"/>
    <xf numFmtId="174" fontId="92" fillId="0" borderId="52" xfId="0" applyNumberFormat="1" applyFont="1" applyFill="1" applyBorder="1" applyAlignment="1" applyProtection="1">
      <alignment horizontal="right"/>
    </xf>
    <xf numFmtId="177" fontId="92" fillId="0" borderId="52" xfId="0" applyNumberFormat="1" applyFont="1" applyFill="1" applyBorder="1" applyAlignment="1" applyProtection="1">
      <alignment horizontal="right"/>
    </xf>
    <xf numFmtId="0" fontId="107" fillId="64" borderId="17" xfId="0" applyFont="1" applyFill="1" applyBorder="1" applyAlignment="1">
      <alignment horizontal="right" vertical="top"/>
    </xf>
    <xf numFmtId="0" fontId="107" fillId="64" borderId="60" xfId="0" applyFont="1" applyFill="1" applyBorder="1" applyAlignment="1">
      <alignment horizontal="right" vertical="top"/>
    </xf>
    <xf numFmtId="0" fontId="107" fillId="64" borderId="61" xfId="0" applyFont="1" applyFill="1" applyBorder="1" applyAlignment="1">
      <alignment horizontal="right" vertical="top"/>
    </xf>
    <xf numFmtId="0" fontId="107" fillId="64" borderId="62" xfId="0" applyFont="1" applyFill="1" applyBorder="1" applyAlignment="1">
      <alignment horizontal="right" vertical="top"/>
    </xf>
    <xf numFmtId="0" fontId="104" fillId="64" borderId="40" xfId="0" applyFont="1" applyFill="1" applyBorder="1" applyAlignment="1">
      <alignment horizontal="right" vertical="top"/>
    </xf>
    <xf numFmtId="0" fontId="104" fillId="64" borderId="45" xfId="0" applyFont="1" applyFill="1" applyBorder="1" applyAlignment="1">
      <alignment horizontal="right" vertical="top"/>
    </xf>
    <xf numFmtId="0" fontId="104" fillId="64" borderId="41" xfId="0" applyFont="1" applyFill="1" applyBorder="1" applyAlignment="1">
      <alignment horizontal="right" vertical="top"/>
    </xf>
    <xf numFmtId="0" fontId="104" fillId="64" borderId="46" xfId="0" applyFont="1" applyFill="1" applyBorder="1" applyAlignment="1">
      <alignment horizontal="right" vertical="top"/>
    </xf>
    <xf numFmtId="0" fontId="104" fillId="0" borderId="0" xfId="0" applyFont="1" applyBorder="1" applyAlignment="1">
      <alignment horizontal="center" vertical="top"/>
    </xf>
    <xf numFmtId="207" fontId="104" fillId="0" borderId="0" xfId="33110" applyNumberFormat="1" applyFont="1" applyAlignment="1">
      <alignment horizontal="right" vertical="top"/>
    </xf>
    <xf numFmtId="207" fontId="104" fillId="0" borderId="0" xfId="33110" applyNumberFormat="1" applyFont="1" applyAlignment="1">
      <alignment horizontal="center" vertical="top"/>
    </xf>
    <xf numFmtId="174" fontId="92" fillId="0" borderId="0" xfId="0" applyNumberFormat="1" applyFont="1" applyFill="1" applyBorder="1" applyAlignment="1" applyProtection="1">
      <alignment horizontal="right" wrapText="1"/>
    </xf>
    <xf numFmtId="0" fontId="92" fillId="64" borderId="0" xfId="0" applyFont="1" applyFill="1" applyAlignment="1">
      <alignment horizontal="center"/>
    </xf>
    <xf numFmtId="0" fontId="92" fillId="64" borderId="15" xfId="0" applyFont="1" applyFill="1" applyBorder="1" applyAlignment="1" applyProtection="1">
      <alignment horizontal="center"/>
    </xf>
    <xf numFmtId="0" fontId="92" fillId="64" borderId="1" xfId="0" applyFont="1" applyFill="1" applyBorder="1" applyAlignment="1" applyProtection="1">
      <alignment horizontal="center"/>
    </xf>
    <xf numFmtId="0" fontId="92" fillId="64" borderId="14" xfId="0" applyFont="1" applyFill="1" applyBorder="1" applyAlignment="1" applyProtection="1">
      <alignment horizontal="center"/>
    </xf>
    <xf numFmtId="0" fontId="92" fillId="64" borderId="59" xfId="0" applyFont="1" applyFill="1" applyBorder="1" applyAlignment="1" applyProtection="1">
      <alignment horizontal="center"/>
    </xf>
    <xf numFmtId="195" fontId="92" fillId="64" borderId="57" xfId="0" applyNumberFormat="1" applyFont="1" applyFill="1" applyBorder="1" applyAlignment="1" applyProtection="1">
      <alignment horizontal="center"/>
    </xf>
    <xf numFmtId="195" fontId="92" fillId="64" borderId="58" xfId="0" applyNumberFormat="1" applyFont="1" applyFill="1" applyBorder="1" applyAlignment="1" applyProtection="1">
      <alignment horizontal="center"/>
    </xf>
    <xf numFmtId="0" fontId="92" fillId="64" borderId="105" xfId="0" applyFont="1" applyFill="1" applyBorder="1" applyAlignment="1" applyProtection="1">
      <alignment horizontal="center"/>
    </xf>
    <xf numFmtId="0" fontId="92" fillId="64" borderId="106" xfId="0" applyFont="1" applyFill="1" applyBorder="1" applyAlignment="1" applyProtection="1">
      <alignment horizontal="center"/>
    </xf>
    <xf numFmtId="0" fontId="92" fillId="64" borderId="107" xfId="0" applyFont="1" applyFill="1" applyBorder="1" applyAlignment="1" applyProtection="1">
      <alignment horizontal="center"/>
    </xf>
    <xf numFmtId="188" fontId="92" fillId="64" borderId="66" xfId="0" applyNumberFormat="1" applyFont="1" applyFill="1" applyBorder="1" applyAlignment="1" applyProtection="1">
      <alignment horizontal="center"/>
    </xf>
    <xf numFmtId="189" fontId="92" fillId="64" borderId="66" xfId="0" applyNumberFormat="1" applyFont="1" applyFill="1" applyBorder="1" applyAlignment="1" applyProtection="1">
      <alignment horizontal="center"/>
    </xf>
    <xf numFmtId="189" fontId="92" fillId="64" borderId="64" xfId="0" applyNumberFormat="1" applyFont="1" applyFill="1" applyBorder="1" applyAlignment="1" applyProtection="1">
      <alignment horizontal="center"/>
    </xf>
    <xf numFmtId="188" fontId="92" fillId="64" borderId="15" xfId="0" applyNumberFormat="1" applyFont="1" applyFill="1" applyBorder="1" applyAlignment="1" applyProtection="1">
      <alignment horizontal="center"/>
    </xf>
    <xf numFmtId="188" fontId="92" fillId="64" borderId="1" xfId="0" applyNumberFormat="1" applyFont="1" applyFill="1" applyBorder="1" applyAlignment="1" applyProtection="1">
      <alignment horizontal="center"/>
    </xf>
    <xf numFmtId="188" fontId="92" fillId="64" borderId="14" xfId="0" applyNumberFormat="1" applyFont="1" applyFill="1" applyBorder="1" applyAlignment="1" applyProtection="1">
      <alignment horizontal="center"/>
    </xf>
    <xf numFmtId="0" fontId="92" fillId="0" borderId="5" xfId="0" applyFont="1" applyFill="1" applyBorder="1" applyAlignment="1" applyProtection="1">
      <alignment wrapText="1"/>
    </xf>
    <xf numFmtId="177" fontId="92" fillId="0" borderId="6" xfId="0" applyNumberFormat="1" applyFont="1" applyFill="1" applyBorder="1" applyProtection="1"/>
    <xf numFmtId="0" fontId="92" fillId="0" borderId="6" xfId="0" applyFont="1" applyFill="1" applyBorder="1" applyProtection="1"/>
    <xf numFmtId="177" fontId="92" fillId="0" borderId="6" xfId="0" applyNumberFormat="1" applyFont="1" applyFill="1" applyBorder="1" applyAlignment="1" applyProtection="1">
      <alignment horizontal="center"/>
    </xf>
    <xf numFmtId="0" fontId="104" fillId="60" borderId="59" xfId="0" applyFont="1" applyFill="1" applyBorder="1" applyProtection="1"/>
    <xf numFmtId="0" fontId="92" fillId="60" borderId="57" xfId="0" applyFont="1" applyFill="1" applyBorder="1" applyAlignment="1" applyProtection="1">
      <alignment horizontal="center"/>
    </xf>
    <xf numFmtId="0" fontId="92" fillId="60" borderId="40" xfId="0" applyFont="1" applyFill="1" applyBorder="1" applyAlignment="1" applyProtection="1">
      <alignment horizontal="center"/>
    </xf>
    <xf numFmtId="188" fontId="92" fillId="60" borderId="64" xfId="0" applyNumberFormat="1" applyFont="1" applyFill="1" applyBorder="1" applyAlignment="1" applyProtection="1">
      <alignment horizontal="center"/>
    </xf>
    <xf numFmtId="0" fontId="104" fillId="60" borderId="15" xfId="0" applyFont="1" applyFill="1" applyBorder="1" applyProtection="1"/>
    <xf numFmtId="0" fontId="92" fillId="60" borderId="1" xfId="0" applyFont="1" applyFill="1" applyBorder="1" applyAlignment="1" applyProtection="1">
      <alignment horizontal="center"/>
    </xf>
    <xf numFmtId="0" fontId="92" fillId="60" borderId="17" xfId="0" quotePrefix="1" applyFont="1" applyFill="1" applyBorder="1" applyAlignment="1" applyProtection="1">
      <alignment horizontal="center"/>
    </xf>
    <xf numFmtId="0" fontId="92" fillId="60" borderId="13" xfId="0" applyFont="1" applyFill="1" applyBorder="1" applyProtection="1"/>
    <xf numFmtId="0" fontId="92" fillId="60" borderId="11" xfId="0" applyFont="1" applyFill="1" applyBorder="1" applyProtection="1"/>
    <xf numFmtId="0" fontId="92" fillId="60" borderId="9" xfId="0" applyFont="1" applyFill="1" applyBorder="1" applyProtection="1"/>
    <xf numFmtId="0" fontId="92" fillId="60" borderId="10" xfId="0" applyFont="1" applyFill="1" applyBorder="1" applyProtection="1"/>
    <xf numFmtId="0" fontId="92" fillId="60" borderId="12" xfId="0" applyFont="1" applyFill="1" applyBorder="1" applyProtection="1"/>
    <xf numFmtId="0" fontId="104" fillId="64" borderId="45" xfId="0" applyNumberFormat="1" applyFont="1" applyFill="1" applyBorder="1" applyAlignment="1" applyProtection="1">
      <alignment horizontal="center" vertical="top"/>
    </xf>
    <xf numFmtId="0" fontId="104" fillId="64" borderId="41" xfId="0" applyNumberFormat="1" applyFont="1" applyFill="1" applyBorder="1" applyAlignment="1" applyProtection="1">
      <alignment horizontal="center" vertical="top"/>
    </xf>
    <xf numFmtId="0" fontId="104" fillId="64" borderId="46" xfId="0" applyNumberFormat="1" applyFont="1" applyFill="1" applyBorder="1" applyAlignment="1" applyProtection="1">
      <alignment horizontal="center" vertical="top"/>
    </xf>
    <xf numFmtId="0" fontId="102" fillId="63" borderId="0" xfId="0" applyFont="1" applyFill="1"/>
    <xf numFmtId="0" fontId="108" fillId="63" borderId="0" xfId="7" applyFont="1" applyFill="1" applyBorder="1" applyAlignment="1" applyProtection="1">
      <alignment wrapText="1"/>
    </xf>
    <xf numFmtId="0" fontId="100" fillId="63" borderId="0" xfId="7" applyFont="1" applyFill="1" applyBorder="1" applyAlignment="1" applyProtection="1">
      <alignment horizontal="right" wrapText="1" indent="1"/>
    </xf>
    <xf numFmtId="164" fontId="91" fillId="63" borderId="0" xfId="0" applyNumberFormat="1" applyFont="1" applyFill="1" applyBorder="1" applyAlignment="1">
      <alignment horizontal="center" vertical="top"/>
    </xf>
    <xf numFmtId="0" fontId="91" fillId="63" borderId="0" xfId="0" applyFont="1" applyFill="1" applyBorder="1" applyProtection="1"/>
    <xf numFmtId="164" fontId="91" fillId="63" borderId="1" xfId="0" applyNumberFormat="1" applyFont="1" applyFill="1" applyBorder="1" applyAlignment="1">
      <alignment horizontal="center" vertical="top"/>
    </xf>
    <xf numFmtId="0" fontId="91" fillId="63" borderId="1" xfId="0" applyFont="1" applyFill="1" applyBorder="1" applyProtection="1"/>
    <xf numFmtId="188" fontId="92" fillId="64" borderId="0" xfId="0" applyNumberFormat="1" applyFont="1" applyFill="1" applyBorder="1" applyAlignment="1">
      <alignment horizontal="center" wrapText="1"/>
    </xf>
    <xf numFmtId="0" fontId="91" fillId="60" borderId="0" xfId="0" applyFont="1" applyFill="1"/>
    <xf numFmtId="0" fontId="92" fillId="60" borderId="0" xfId="0" applyFont="1" applyFill="1" applyBorder="1"/>
    <xf numFmtId="0" fontId="92" fillId="60" borderId="0" xfId="0" applyFont="1" applyFill="1" applyBorder="1" applyAlignment="1">
      <alignment horizontal="right" wrapText="1"/>
    </xf>
    <xf numFmtId="185" fontId="94" fillId="64" borderId="65" xfId="6628" applyNumberFormat="1" applyFont="1" applyFill="1" applyBorder="1"/>
    <xf numFmtId="185" fontId="94" fillId="64" borderId="17" xfId="6628" applyNumberFormat="1" applyFont="1" applyFill="1" applyBorder="1"/>
    <xf numFmtId="0" fontId="92" fillId="64" borderId="70" xfId="0" applyFont="1" applyFill="1" applyBorder="1" applyAlignment="1">
      <alignment horizontal="right"/>
    </xf>
    <xf numFmtId="0" fontId="92" fillId="64" borderId="66" xfId="0" applyFont="1" applyFill="1" applyBorder="1" applyAlignment="1">
      <alignment horizontal="right"/>
    </xf>
    <xf numFmtId="0" fontId="104" fillId="64" borderId="18" xfId="0" applyFont="1" applyFill="1" applyBorder="1" applyAlignment="1" applyProtection="1">
      <alignment horizontal="right" vertical="top"/>
    </xf>
    <xf numFmtId="0" fontId="104" fillId="64" borderId="0" xfId="0" quotePrefix="1" applyFont="1" applyFill="1" applyBorder="1" applyAlignment="1" applyProtection="1">
      <alignment horizontal="right" vertical="top"/>
    </xf>
    <xf numFmtId="0" fontId="104" fillId="64" borderId="0" xfId="0" applyFont="1" applyFill="1" applyBorder="1" applyAlignment="1" applyProtection="1">
      <alignment horizontal="right" vertical="top"/>
    </xf>
    <xf numFmtId="0" fontId="104" fillId="64" borderId="16" xfId="0" applyFont="1" applyFill="1" applyBorder="1" applyAlignment="1" applyProtection="1">
      <alignment horizontal="right" vertical="top"/>
    </xf>
    <xf numFmtId="0" fontId="104" fillId="64" borderId="15" xfId="0" applyNumberFormat="1" applyFont="1" applyFill="1" applyBorder="1" applyAlignment="1" applyProtection="1">
      <alignment horizontal="right" vertical="top"/>
    </xf>
    <xf numFmtId="0" fontId="104" fillId="64" borderId="1" xfId="0" applyNumberFormat="1" applyFont="1" applyFill="1" applyBorder="1" applyAlignment="1" applyProtection="1">
      <alignment horizontal="right" vertical="top"/>
    </xf>
    <xf numFmtId="0" fontId="104" fillId="64" borderId="14" xfId="0" applyNumberFormat="1" applyFont="1" applyFill="1" applyBorder="1" applyAlignment="1" applyProtection="1">
      <alignment horizontal="right" vertical="top"/>
    </xf>
    <xf numFmtId="0" fontId="94" fillId="64" borderId="111" xfId="8" applyFont="1" applyFill="1" applyBorder="1" applyAlignment="1" applyProtection="1">
      <alignment horizontal="center" wrapText="1"/>
    </xf>
    <xf numFmtId="44" fontId="95" fillId="64" borderId="111" xfId="6" applyFont="1" applyFill="1" applyBorder="1" applyAlignment="1" applyProtection="1">
      <alignment horizontal="center"/>
    </xf>
    <xf numFmtId="44" fontId="95" fillId="63" borderId="0" xfId="8" applyNumberFormat="1" applyFont="1" applyFill="1" applyBorder="1" applyProtection="1"/>
    <xf numFmtId="173" fontId="95" fillId="63" borderId="0" xfId="8" applyNumberFormat="1" applyFont="1" applyFill="1" applyProtection="1"/>
    <xf numFmtId="0" fontId="107" fillId="64" borderId="60" xfId="0" applyFont="1" applyFill="1" applyBorder="1" applyAlignment="1" applyProtection="1">
      <alignment horizontal="center" vertical="top"/>
    </xf>
    <xf numFmtId="0" fontId="107" fillId="64" borderId="61" xfId="0" applyFont="1" applyFill="1" applyBorder="1" applyAlignment="1" applyProtection="1">
      <alignment horizontal="center" vertical="top"/>
    </xf>
    <xf numFmtId="0" fontId="107" fillId="64" borderId="62" xfId="0" applyFont="1" applyFill="1" applyBorder="1" applyAlignment="1" applyProtection="1">
      <alignment horizontal="center" vertical="top"/>
    </xf>
    <xf numFmtId="0" fontId="104" fillId="64" borderId="45" xfId="0" applyFont="1" applyFill="1" applyBorder="1" applyAlignment="1" applyProtection="1">
      <alignment horizontal="center" vertical="top"/>
    </xf>
    <xf numFmtId="0" fontId="104" fillId="64" borderId="41" xfId="0" applyFont="1" applyFill="1" applyBorder="1" applyAlignment="1" applyProtection="1">
      <alignment horizontal="center" vertical="top"/>
    </xf>
    <xf numFmtId="0" fontId="104" fillId="64" borderId="46" xfId="0" applyFont="1" applyFill="1" applyBorder="1" applyAlignment="1" applyProtection="1">
      <alignment horizontal="center" vertical="top"/>
    </xf>
    <xf numFmtId="0" fontId="102" fillId="72" borderId="0" xfId="33111" applyFont="1" applyFill="1" applyBorder="1" applyAlignment="1">
      <alignment horizontal="left" vertical="top"/>
    </xf>
    <xf numFmtId="0" fontId="120" fillId="72" borderId="0" xfId="33111" applyFont="1" applyFill="1" applyBorder="1" applyAlignment="1">
      <alignment horizontal="left" vertical="top" wrapText="1"/>
    </xf>
    <xf numFmtId="166" fontId="120" fillId="0" borderId="0" xfId="8" applyNumberFormat="1" applyFont="1" applyAlignment="1" applyProtection="1">
      <alignment horizontal="center"/>
    </xf>
    <xf numFmtId="43" fontId="91" fillId="0" borderId="0" xfId="4" applyFont="1" applyFill="1" applyProtection="1"/>
    <xf numFmtId="0" fontId="104" fillId="0" borderId="57" xfId="8" applyFont="1" applyFill="1" applyBorder="1" applyAlignment="1" applyProtection="1">
      <alignment horizontal="left"/>
    </xf>
    <xf numFmtId="174" fontId="91" fillId="0" borderId="57" xfId="0" applyNumberFormat="1" applyFont="1" applyFill="1" applyBorder="1" applyAlignment="1" applyProtection="1">
      <alignment horizontal="right"/>
    </xf>
    <xf numFmtId="175" fontId="92" fillId="0" borderId="0" xfId="0" applyNumberFormat="1" applyFont="1" applyFill="1" applyAlignment="1" applyProtection="1">
      <alignment horizontal="right"/>
    </xf>
    <xf numFmtId="195" fontId="92" fillId="64" borderId="66" xfId="0" applyNumberFormat="1" applyFont="1" applyFill="1" applyBorder="1" applyAlignment="1" applyProtection="1">
      <alignment horizontal="center"/>
    </xf>
    <xf numFmtId="195" fontId="92" fillId="64" borderId="64" xfId="0" applyNumberFormat="1" applyFont="1" applyFill="1" applyBorder="1" applyAlignment="1" applyProtection="1">
      <alignment horizontal="center"/>
    </xf>
    <xf numFmtId="0" fontId="107" fillId="64" borderId="40" xfId="0" applyFont="1" applyFill="1" applyBorder="1" applyAlignment="1" applyProtection="1">
      <alignment horizontal="center" vertical="top"/>
    </xf>
    <xf numFmtId="0" fontId="104" fillId="64" borderId="40" xfId="0" applyFont="1" applyFill="1" applyBorder="1" applyAlignment="1" applyProtection="1">
      <alignment horizontal="center" vertical="top"/>
    </xf>
    <xf numFmtId="0" fontId="102" fillId="60" borderId="1" xfId="0" applyFont="1" applyFill="1" applyBorder="1"/>
    <xf numFmtId="0" fontId="92" fillId="60" borderId="1" xfId="0" applyFont="1" applyFill="1" applyBorder="1"/>
    <xf numFmtId="0" fontId="92" fillId="60" borderId="1" xfId="0" applyFont="1" applyFill="1" applyBorder="1" applyAlignment="1">
      <alignment horizontal="right"/>
    </xf>
    <xf numFmtId="0" fontId="104" fillId="67" borderId="0" xfId="0" applyFont="1" applyFill="1"/>
    <xf numFmtId="174" fontId="95" fillId="2" borderId="55" xfId="6" applyNumberFormat="1" applyFont="1" applyFill="1" applyBorder="1" applyProtection="1">
      <protection locked="0"/>
    </xf>
    <xf numFmtId="174" fontId="95" fillId="0" borderId="104" xfId="6" applyNumberFormat="1" applyFont="1" applyBorder="1" applyProtection="1"/>
    <xf numFmtId="174" fontId="95" fillId="0" borderId="103" xfId="8" applyNumberFormat="1" applyFont="1" applyFill="1" applyBorder="1" applyProtection="1"/>
    <xf numFmtId="174" fontId="95" fillId="0" borderId="57" xfId="8" applyNumberFormat="1" applyFont="1" applyFill="1" applyBorder="1" applyProtection="1"/>
    <xf numFmtId="0" fontId="91" fillId="0" borderId="0" xfId="0" quotePrefix="1" applyFont="1" applyFill="1" applyBorder="1"/>
    <xf numFmtId="174" fontId="91" fillId="0" borderId="0" xfId="0" quotePrefix="1" applyNumberFormat="1" applyFont="1" applyFill="1" applyBorder="1"/>
    <xf numFmtId="0" fontId="92" fillId="62" borderId="57" xfId="0" applyFont="1" applyFill="1" applyBorder="1"/>
    <xf numFmtId="0" fontId="104" fillId="63" borderId="50" xfId="0" applyFont="1" applyFill="1" applyBorder="1" applyProtection="1"/>
    <xf numFmtId="0" fontId="100" fillId="63" borderId="50" xfId="7" applyFont="1" applyFill="1" applyBorder="1" applyAlignment="1" applyProtection="1">
      <alignment horizontal="right" wrapText="1" indent="1"/>
    </xf>
    <xf numFmtId="0" fontId="107" fillId="63" borderId="50" xfId="0" applyFont="1" applyFill="1" applyBorder="1" applyAlignment="1" applyProtection="1">
      <alignment horizontal="center" vertical="top"/>
    </xf>
    <xf numFmtId="182" fontId="91" fillId="0" borderId="55" xfId="0" applyNumberFormat="1" applyFont="1" applyBorder="1" applyAlignment="1">
      <alignment horizontal="center" vertical="top"/>
    </xf>
    <xf numFmtId="172" fontId="91" fillId="0" borderId="55" xfId="0" applyNumberFormat="1" applyFont="1" applyBorder="1" applyAlignment="1">
      <alignment horizontal="center" vertical="top"/>
    </xf>
    <xf numFmtId="172" fontId="91" fillId="0" borderId="55" xfId="0" applyNumberFormat="1" applyFont="1" applyBorder="1" applyAlignment="1">
      <alignment horizontal="right" vertical="top"/>
    </xf>
    <xf numFmtId="172" fontId="91" fillId="68" borderId="55" xfId="0" applyNumberFormat="1" applyFont="1" applyFill="1" applyBorder="1" applyAlignment="1">
      <alignment horizontal="center" vertical="top"/>
    </xf>
    <xf numFmtId="172" fontId="91" fillId="2" borderId="55" xfId="0" applyNumberFormat="1" applyFont="1" applyFill="1" applyBorder="1" applyAlignment="1" applyProtection="1">
      <alignment horizontal="right" vertical="top"/>
      <protection locked="0"/>
    </xf>
    <xf numFmtId="190" fontId="148" fillId="0" borderId="55" xfId="11" applyNumberFormat="1" applyFont="1" applyFill="1" applyBorder="1" applyAlignment="1" applyProtection="1">
      <alignment horizontal="center" vertical="top"/>
      <protection locked="0"/>
    </xf>
    <xf numFmtId="165" fontId="90" fillId="0" borderId="55" xfId="11" applyNumberFormat="1" applyFont="1" applyFill="1" applyBorder="1" applyAlignment="1" applyProtection="1">
      <alignment horizontal="center" vertical="top"/>
      <protection locked="0"/>
    </xf>
    <xf numFmtId="164" fontId="96" fillId="4" borderId="55" xfId="11" applyNumberFormat="1" applyFont="1" applyFill="1" applyBorder="1" applyAlignment="1" applyProtection="1">
      <alignment horizontal="center" vertical="top"/>
      <protection locked="0"/>
    </xf>
    <xf numFmtId="174" fontId="91" fillId="0" borderId="1" xfId="0" applyNumberFormat="1" applyFont="1" applyBorder="1" applyAlignment="1" applyProtection="1">
      <alignment horizontal="right" vertical="top"/>
    </xf>
    <xf numFmtId="174" fontId="91" fillId="0" borderId="0" xfId="0" applyNumberFormat="1" applyFont="1" applyFill="1" applyAlignment="1" applyProtection="1">
      <alignment horizontal="right"/>
    </xf>
    <xf numFmtId="174" fontId="91" fillId="0" borderId="0" xfId="0" applyNumberFormat="1" applyFont="1" applyAlignment="1" applyProtection="1">
      <alignment horizontal="right" vertical="top" wrapText="1"/>
    </xf>
    <xf numFmtId="174" fontId="91" fillId="0" borderId="0" xfId="0" quotePrefix="1" applyNumberFormat="1" applyFont="1" applyAlignment="1" applyProtection="1">
      <alignment horizontal="right" vertical="top"/>
    </xf>
    <xf numFmtId="172" fontId="91" fillId="0" borderId="1" xfId="0" applyNumberFormat="1" applyFont="1" applyBorder="1" applyAlignment="1" applyProtection="1">
      <alignment horizontal="right"/>
    </xf>
    <xf numFmtId="0" fontId="102" fillId="62" borderId="0" xfId="0" applyFont="1" applyFill="1" applyProtection="1"/>
    <xf numFmtId="0" fontId="91" fillId="62" borderId="0" xfId="0" applyFont="1" applyFill="1" applyProtection="1"/>
    <xf numFmtId="0" fontId="92" fillId="68" borderId="117" xfId="0" applyFont="1" applyFill="1" applyBorder="1" applyAlignment="1">
      <alignment horizontal="right"/>
    </xf>
    <xf numFmtId="209" fontId="91" fillId="0" borderId="47" xfId="0" applyNumberFormat="1" applyFont="1" applyFill="1" applyBorder="1" applyAlignment="1">
      <alignment horizontal="right" vertical="top"/>
    </xf>
    <xf numFmtId="174" fontId="91" fillId="2" borderId="47" xfId="0" applyNumberFormat="1" applyFont="1" applyFill="1" applyBorder="1" applyAlignment="1" applyProtection="1">
      <alignment horizontal="right" vertical="top"/>
      <protection locked="0"/>
    </xf>
    <xf numFmtId="172" fontId="91" fillId="3" borderId="47" xfId="9" applyNumberFormat="1" applyFont="1" applyFill="1" applyBorder="1" applyAlignment="1" applyProtection="1">
      <alignment horizontal="center" vertical="top"/>
    </xf>
    <xf numFmtId="187" fontId="91" fillId="3" borderId="47" xfId="0" applyNumberFormat="1" applyFont="1" applyFill="1" applyBorder="1" applyAlignment="1" applyProtection="1">
      <alignment horizontal="center" vertical="top"/>
    </xf>
    <xf numFmtId="174" fontId="91" fillId="3" borderId="47" xfId="0" applyNumberFormat="1" applyFont="1" applyFill="1" applyBorder="1" applyAlignment="1" applyProtection="1">
      <alignment horizontal="center"/>
    </xf>
    <xf numFmtId="203" fontId="92" fillId="0" borderId="57" xfId="0" applyNumberFormat="1" applyFont="1" applyFill="1" applyBorder="1"/>
    <xf numFmtId="211" fontId="91" fillId="0" borderId="1" xfId="33110" applyNumberFormat="1" applyFont="1" applyFill="1" applyBorder="1"/>
    <xf numFmtId="211" fontId="91" fillId="0" borderId="47" xfId="33110" applyNumberFormat="1" applyFont="1" applyFill="1" applyBorder="1"/>
    <xf numFmtId="211" fontId="91" fillId="0" borderId="52" xfId="33110" applyNumberFormat="1" applyFont="1" applyFill="1" applyBorder="1"/>
    <xf numFmtId="174" fontId="96" fillId="4" borderId="55" xfId="11" applyNumberFormat="1" applyFont="1" applyBorder="1" applyAlignment="1" applyProtection="1">
      <alignment horizontal="center" vertical="top"/>
      <protection locked="0"/>
    </xf>
    <xf numFmtId="175" fontId="96" fillId="4" borderId="55" xfId="11" applyNumberFormat="1" applyFont="1" applyBorder="1" applyAlignment="1" applyProtection="1">
      <alignment horizontal="center" vertical="top"/>
      <protection locked="0"/>
    </xf>
    <xf numFmtId="174" fontId="92" fillId="3" borderId="0" xfId="9" applyNumberFormat="1" applyFont="1" applyFill="1" applyBorder="1" applyAlignment="1">
      <alignment horizontal="center" vertical="top"/>
    </xf>
    <xf numFmtId="174" fontId="96" fillId="2" borderId="55"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2" fontId="96" fillId="4" borderId="55" xfId="11" applyNumberFormat="1" applyFont="1" applyBorder="1" applyAlignment="1" applyProtection="1">
      <alignment horizontal="center"/>
      <protection locked="0"/>
    </xf>
    <xf numFmtId="212" fontId="96" fillId="4" borderId="67" xfId="11" applyNumberFormat="1" applyFont="1" applyBorder="1" applyAlignment="1" applyProtection="1">
      <alignment horizontal="center"/>
      <protection locked="0"/>
    </xf>
    <xf numFmtId="190"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214" fontId="96" fillId="4" borderId="3" xfId="11" applyNumberFormat="1" applyFont="1" applyAlignment="1" applyProtection="1">
      <alignment horizontal="center"/>
      <protection locked="0"/>
    </xf>
    <xf numFmtId="215" fontId="96" fillId="4" borderId="3" xfId="11" applyNumberFormat="1" applyFont="1" applyAlignment="1" applyProtection="1">
      <alignment horizontal="center"/>
      <protection locked="0"/>
    </xf>
    <xf numFmtId="174" fontId="90" fillId="0" borderId="0" xfId="0" applyNumberFormat="1" applyFont="1" applyFill="1" applyBorder="1" applyAlignment="1" applyProtection="1">
      <alignment horizontal="center"/>
    </xf>
    <xf numFmtId="174" fontId="92" fillId="0" borderId="66" xfId="0" applyNumberFormat="1" applyFont="1" applyBorder="1" applyAlignment="1" applyProtection="1">
      <alignment horizontal="right"/>
    </xf>
    <xf numFmtId="172" fontId="90" fillId="0" borderId="104" xfId="0" applyNumberFormat="1" applyFont="1" applyFill="1" applyBorder="1" applyAlignment="1" applyProtection="1">
      <alignment horizontal="right" vertical="top"/>
    </xf>
    <xf numFmtId="172" fontId="90" fillId="0" borderId="55" xfId="0" applyNumberFormat="1" applyFont="1" applyFill="1" applyBorder="1" applyAlignment="1" applyProtection="1">
      <alignment horizontal="right" vertical="top"/>
    </xf>
    <xf numFmtId="172" fontId="96" fillId="2" borderId="0" xfId="0" applyNumberFormat="1" applyFont="1" applyFill="1" applyBorder="1" applyAlignment="1" applyProtection="1">
      <alignment horizontal="right" vertical="top"/>
      <protection locked="0"/>
    </xf>
    <xf numFmtId="172" fontId="101" fillId="2" borderId="0" xfId="0" applyNumberFormat="1" applyFont="1" applyFill="1" applyBorder="1" applyAlignment="1" applyProtection="1">
      <alignment horizontal="right" vertical="top"/>
      <protection locked="0"/>
    </xf>
    <xf numFmtId="172" fontId="92" fillId="3" borderId="113" xfId="13330" applyNumberFormat="1" applyFont="1" applyFill="1" applyBorder="1" applyAlignment="1">
      <alignment horizontal="right" vertical="top"/>
    </xf>
    <xf numFmtId="172" fontId="96" fillId="2" borderId="104" xfId="0" applyNumberFormat="1" applyFont="1" applyFill="1" applyBorder="1" applyAlignment="1" applyProtection="1">
      <alignment horizontal="right" vertical="top"/>
      <protection locked="0"/>
    </xf>
    <xf numFmtId="9" fontId="101" fillId="2" borderId="55" xfId="9" applyFont="1" applyFill="1" applyBorder="1" applyAlignment="1" applyProtection="1">
      <alignment horizontal="right" vertical="top"/>
      <protection locked="0"/>
    </xf>
    <xf numFmtId="0" fontId="91" fillId="3" borderId="0" xfId="0" applyFont="1" applyFill="1" applyBorder="1" applyAlignment="1">
      <alignment horizontal="right"/>
    </xf>
    <xf numFmtId="172" fontId="91" fillId="0" borderId="55" xfId="9" applyNumberFormat="1" applyFont="1" applyFill="1" applyBorder="1" applyAlignment="1" applyProtection="1">
      <alignment horizontal="right" vertical="top"/>
    </xf>
    <xf numFmtId="1" fontId="96" fillId="2" borderId="113" xfId="0" applyNumberFormat="1" applyFont="1" applyFill="1" applyBorder="1" applyAlignment="1" applyProtection="1">
      <alignment horizontal="center" vertical="top"/>
      <protection locked="0"/>
    </xf>
    <xf numFmtId="172" fontId="95" fillId="0" borderId="103" xfId="8" applyNumberFormat="1" applyFont="1" applyFill="1" applyBorder="1" applyProtection="1"/>
    <xf numFmtId="0" fontId="95" fillId="0" borderId="103" xfId="0" applyFont="1" applyFill="1" applyBorder="1" applyProtection="1"/>
    <xf numFmtId="0" fontId="95" fillId="0" borderId="55" xfId="8" applyFont="1" applyFill="1" applyBorder="1" applyProtection="1"/>
    <xf numFmtId="0" fontId="95" fillId="0" borderId="55" xfId="0" applyFont="1" applyFill="1" applyBorder="1" applyProtection="1"/>
    <xf numFmtId="0" fontId="91" fillId="0" borderId="55" xfId="0" applyFont="1" applyFill="1" applyBorder="1" applyProtection="1"/>
    <xf numFmtId="0" fontId="95" fillId="0" borderId="104" xfId="8" applyFont="1" applyBorder="1" applyProtection="1"/>
    <xf numFmtId="174" fontId="95" fillId="0" borderId="104" xfId="8" applyNumberFormat="1" applyFont="1" applyBorder="1" applyProtection="1"/>
    <xf numFmtId="174" fontId="95" fillId="0" borderId="104" xfId="8" applyNumberFormat="1" applyFont="1" applyFill="1" applyBorder="1" applyProtection="1"/>
    <xf numFmtId="172" fontId="116" fillId="2" borderId="104" xfId="6" applyNumberFormat="1" applyFont="1" applyFill="1" applyBorder="1" applyProtection="1">
      <protection locked="0"/>
    </xf>
    <xf numFmtId="172" fontId="116" fillId="2" borderId="113" xfId="6" applyNumberFormat="1" applyFont="1" applyFill="1" applyBorder="1" applyAlignment="1" applyProtection="1">
      <protection locked="0"/>
    </xf>
    <xf numFmtId="0" fontId="94" fillId="0" borderId="119" xfId="8" applyFont="1" applyFill="1" applyBorder="1" applyAlignment="1" applyProtection="1">
      <alignment horizontal="center" wrapText="1"/>
    </xf>
    <xf numFmtId="0" fontId="94" fillId="0" borderId="120" xfId="8" quotePrefix="1" applyFont="1" applyBorder="1" applyAlignment="1" applyProtection="1">
      <alignment horizontal="center" wrapText="1"/>
    </xf>
    <xf numFmtId="0" fontId="94" fillId="64" borderId="120" xfId="8" applyFont="1" applyFill="1" applyBorder="1" applyAlignment="1" applyProtection="1">
      <alignment horizontal="center" wrapText="1"/>
    </xf>
    <xf numFmtId="44" fontId="94" fillId="64" borderId="120" xfId="6" applyFont="1" applyFill="1" applyBorder="1" applyAlignment="1" applyProtection="1">
      <alignment horizontal="center"/>
    </xf>
    <xf numFmtId="44" fontId="94" fillId="66" borderId="120" xfId="6" applyFont="1" applyFill="1" applyBorder="1" applyAlignment="1" applyProtection="1">
      <alignment horizontal="center"/>
    </xf>
    <xf numFmtId="44" fontId="94" fillId="66" borderId="121" xfId="6" applyFont="1" applyFill="1" applyBorder="1" applyAlignment="1" applyProtection="1">
      <alignment horizontal="center"/>
    </xf>
    <xf numFmtId="174" fontId="95" fillId="0" borderId="67" xfId="8" applyNumberFormat="1" applyFont="1" applyFill="1" applyBorder="1" applyProtection="1"/>
    <xf numFmtId="174" fontId="95" fillId="0" borderId="67" xfId="8" applyNumberFormat="1" applyFont="1" applyBorder="1" applyProtection="1"/>
    <xf numFmtId="174" fontId="116" fillId="2" borderId="67" xfId="6" quotePrefix="1" applyNumberFormat="1" applyFont="1" applyFill="1" applyBorder="1" applyProtection="1">
      <protection locked="0"/>
    </xf>
    <xf numFmtId="174" fontId="116" fillId="2" borderId="67" xfId="6" applyNumberFormat="1" applyFont="1" applyFill="1" applyBorder="1" applyProtection="1">
      <protection locked="0"/>
    </xf>
    <xf numFmtId="0" fontId="94" fillId="63" borderId="66" xfId="8" applyFont="1" applyFill="1" applyBorder="1" applyProtection="1"/>
    <xf numFmtId="0" fontId="94" fillId="63" borderId="118" xfId="8" applyFont="1" applyFill="1" applyBorder="1" applyAlignment="1" applyProtection="1">
      <alignment horizontal="center" wrapText="1"/>
    </xf>
    <xf numFmtId="44" fontId="94" fillId="63" borderId="118" xfId="6" applyFont="1" applyFill="1" applyBorder="1" applyAlignment="1" applyProtection="1">
      <alignment horizontal="center"/>
    </xf>
    <xf numFmtId="0" fontId="94" fillId="60" borderId="66" xfId="8" applyFont="1" applyFill="1" applyBorder="1" applyProtection="1"/>
    <xf numFmtId="0" fontId="95" fillId="60" borderId="66" xfId="8" applyFont="1" applyFill="1" applyBorder="1" applyProtection="1"/>
    <xf numFmtId="44" fontId="95" fillId="60" borderId="66" xfId="6" applyFont="1" applyFill="1" applyBorder="1" applyProtection="1"/>
    <xf numFmtId="0" fontId="91" fillId="2" borderId="104" xfId="0" applyFont="1" applyFill="1" applyBorder="1" applyAlignment="1" applyProtection="1">
      <alignment horizontal="center" vertical="top"/>
    </xf>
    <xf numFmtId="0" fontId="91" fillId="2" borderId="55" xfId="0" applyFont="1" applyFill="1" applyBorder="1" applyAlignment="1" applyProtection="1">
      <alignment horizontal="center" vertical="top"/>
    </xf>
    <xf numFmtId="0" fontId="91" fillId="2" borderId="113" xfId="0" applyFont="1" applyFill="1" applyBorder="1" applyAlignment="1" applyProtection="1">
      <alignment horizontal="center" vertical="top"/>
    </xf>
    <xf numFmtId="172" fontId="91" fillId="2" borderId="55" xfId="0" applyNumberFormat="1" applyFont="1" applyFill="1" applyBorder="1" applyAlignment="1" applyProtection="1">
      <alignment horizontal="center" vertical="top"/>
    </xf>
    <xf numFmtId="0" fontId="96" fillId="2" borderId="55" xfId="0" applyFont="1" applyFill="1" applyBorder="1" applyProtection="1">
      <protection locked="0"/>
    </xf>
    <xf numFmtId="175" fontId="96" fillId="2" borderId="55" xfId="0" applyNumberFormat="1" applyFont="1" applyFill="1" applyBorder="1" applyProtection="1">
      <protection locked="0"/>
    </xf>
    <xf numFmtId="0" fontId="96" fillId="2" borderId="113" xfId="0" applyFont="1" applyFill="1" applyBorder="1" applyProtection="1">
      <protection locked="0"/>
    </xf>
    <xf numFmtId="175" fontId="96" fillId="2" borderId="113" xfId="0" applyNumberFormat="1" applyFont="1" applyFill="1" applyBorder="1" applyProtection="1">
      <protection locked="0"/>
    </xf>
    <xf numFmtId="174" fontId="96" fillId="2" borderId="104" xfId="0" applyNumberFormat="1" applyFont="1" applyFill="1" applyBorder="1" applyProtection="1">
      <protection locked="0"/>
    </xf>
    <xf numFmtId="174" fontId="91" fillId="0" borderId="104" xfId="0" applyNumberFormat="1" applyFont="1" applyBorder="1" applyAlignment="1">
      <alignment horizontal="right" vertical="top"/>
    </xf>
    <xf numFmtId="0" fontId="92" fillId="0" borderId="66" xfId="0" applyFont="1" applyBorder="1" applyProtection="1"/>
    <xf numFmtId="0" fontId="91" fillId="3" borderId="122" xfId="0" applyFont="1" applyFill="1" applyBorder="1"/>
    <xf numFmtId="0" fontId="91" fillId="3" borderId="123" xfId="0" applyFont="1" applyFill="1" applyBorder="1"/>
    <xf numFmtId="0" fontId="91" fillId="0" borderId="59" xfId="0" applyFont="1" applyBorder="1" applyAlignment="1">
      <alignment horizontal="left" indent="1"/>
    </xf>
    <xf numFmtId="0" fontId="92" fillId="63" borderId="57" xfId="0" applyFont="1" applyFill="1" applyBorder="1" applyAlignment="1">
      <alignment horizontal="right"/>
    </xf>
    <xf numFmtId="0" fontId="92" fillId="63" borderId="57" xfId="0" applyFont="1" applyFill="1" applyBorder="1" applyAlignment="1">
      <alignment horizontal="right" wrapText="1"/>
    </xf>
    <xf numFmtId="0" fontId="129" fillId="0" borderId="125" xfId="0" applyFont="1" applyBorder="1" applyAlignment="1">
      <alignment horizontal="left" indent="1"/>
    </xf>
    <xf numFmtId="0" fontId="96" fillId="2" borderId="52" xfId="0" applyFont="1" applyFill="1" applyBorder="1" applyAlignment="1" applyProtection="1">
      <alignment horizontal="center"/>
      <protection locked="0"/>
    </xf>
    <xf numFmtId="49" fontId="96" fillId="2" borderId="52" xfId="0" applyNumberFormat="1" applyFont="1" applyFill="1" applyBorder="1" applyAlignment="1" applyProtection="1">
      <alignment horizontal="center"/>
      <protection locked="0"/>
    </xf>
    <xf numFmtId="172" fontId="96" fillId="2" borderId="52" xfId="0" applyNumberFormat="1" applyFont="1" applyFill="1" applyBorder="1" applyProtection="1">
      <protection locked="0"/>
    </xf>
    <xf numFmtId="194" fontId="96" fillId="2" borderId="126" xfId="0" applyNumberFormat="1" applyFont="1" applyFill="1" applyBorder="1" applyAlignment="1" applyProtection="1">
      <alignment horizontal="center"/>
      <protection locked="0"/>
    </xf>
    <xf numFmtId="173" fontId="96" fillId="2" borderId="127" xfId="0" applyNumberFormat="1" applyFont="1" applyFill="1" applyBorder="1" applyAlignment="1" applyProtection="1">
      <alignment horizontal="center"/>
      <protection locked="0"/>
    </xf>
    <xf numFmtId="0" fontId="92" fillId="63" borderId="66" xfId="0" applyFont="1" applyFill="1" applyBorder="1"/>
    <xf numFmtId="0" fontId="91" fillId="63" borderId="66" xfId="0" applyFont="1" applyFill="1" applyBorder="1"/>
    <xf numFmtId="172" fontId="91" fillId="0" borderId="50" xfId="0" applyNumberFormat="1" applyFont="1" applyFill="1" applyBorder="1" applyProtection="1"/>
    <xf numFmtId="172" fontId="91" fillId="0" borderId="47" xfId="0" applyNumberFormat="1" applyFont="1" applyFill="1" applyBorder="1" applyProtection="1"/>
    <xf numFmtId="174" fontId="91" fillId="0" borderId="52" xfId="0" applyNumberFormat="1" applyFont="1" applyFill="1" applyBorder="1" applyProtection="1"/>
    <xf numFmtId="172" fontId="91" fillId="0" borderId="52" xfId="0" applyNumberFormat="1" applyFont="1" applyFill="1" applyBorder="1" applyProtection="1"/>
    <xf numFmtId="174" fontId="90" fillId="0" borderId="68" xfId="0" applyNumberFormat="1" applyFont="1" applyFill="1" applyBorder="1" applyProtection="1"/>
    <xf numFmtId="172" fontId="96" fillId="2" borderId="68" xfId="0" applyNumberFormat="1" applyFont="1" applyFill="1" applyBorder="1" applyProtection="1">
      <protection locked="0"/>
    </xf>
    <xf numFmtId="172" fontId="96" fillId="0" borderId="68" xfId="0" applyNumberFormat="1" applyFont="1" applyFill="1" applyBorder="1" applyProtection="1">
      <protection locked="0"/>
    </xf>
    <xf numFmtId="172" fontId="96" fillId="2" borderId="128" xfId="0" applyNumberFormat="1" applyFont="1" applyFill="1" applyBorder="1" applyProtection="1">
      <protection locked="0"/>
    </xf>
    <xf numFmtId="172" fontId="90" fillId="0" borderId="122" xfId="0" applyNumberFormat="1" applyFont="1" applyFill="1" applyBorder="1" applyProtection="1"/>
    <xf numFmtId="188" fontId="92" fillId="64" borderId="58" xfId="0" applyNumberFormat="1" applyFont="1" applyFill="1" applyBorder="1" applyAlignment="1" applyProtection="1">
      <alignment horizontal="center"/>
    </xf>
    <xf numFmtId="0" fontId="92" fillId="64" borderId="59" xfId="0" applyFont="1" applyFill="1" applyBorder="1" applyAlignment="1" applyProtection="1">
      <alignment horizontal="right"/>
    </xf>
    <xf numFmtId="195" fontId="92" fillId="64" borderId="57" xfId="0" applyNumberFormat="1" applyFont="1" applyFill="1" applyBorder="1" applyAlignment="1" applyProtection="1">
      <alignment horizontal="right"/>
    </xf>
    <xf numFmtId="195" fontId="92" fillId="64" borderId="58" xfId="0" applyNumberFormat="1" applyFont="1" applyFill="1" applyBorder="1" applyAlignment="1" applyProtection="1">
      <alignment horizontal="right"/>
    </xf>
    <xf numFmtId="0" fontId="92" fillId="64" borderId="57" xfId="0" applyFont="1" applyFill="1" applyBorder="1" applyAlignment="1" applyProtection="1">
      <alignment horizontal="right"/>
    </xf>
    <xf numFmtId="0" fontId="92" fillId="64" borderId="58" xfId="0" applyFont="1" applyFill="1" applyBorder="1" applyAlignment="1" applyProtection="1">
      <alignment horizontal="right"/>
    </xf>
    <xf numFmtId="0" fontId="95" fillId="0" borderId="122" xfId="8" applyFont="1" applyFill="1" applyBorder="1" applyProtection="1"/>
    <xf numFmtId="0" fontId="95" fillId="0" borderId="68" xfId="8" applyFont="1" applyFill="1" applyBorder="1" applyProtection="1"/>
    <xf numFmtId="0" fontId="95" fillId="0" borderId="128" xfId="8" applyFont="1" applyFill="1" applyBorder="1" applyProtection="1"/>
    <xf numFmtId="0" fontId="94" fillId="0" borderId="66" xfId="8" applyFont="1" applyBorder="1" applyProtection="1"/>
    <xf numFmtId="174" fontId="94" fillId="0" borderId="66" xfId="8" applyNumberFormat="1" applyFont="1" applyBorder="1" applyProtection="1"/>
    <xf numFmtId="174" fontId="94" fillId="0" borderId="66" xfId="6" applyNumberFormat="1" applyFont="1" applyBorder="1" applyProtection="1"/>
    <xf numFmtId="0" fontId="111" fillId="0" borderId="14" xfId="0" applyFont="1" applyBorder="1" applyProtection="1"/>
    <xf numFmtId="174" fontId="94" fillId="0" borderId="53" xfId="6" applyNumberFormat="1" applyFont="1" applyBorder="1" applyProtection="1"/>
    <xf numFmtId="175" fontId="95" fillId="0" borderId="67" xfId="6" applyNumberFormat="1" applyFont="1" applyFill="1" applyBorder="1" applyProtection="1"/>
    <xf numFmtId="0" fontId="129" fillId="0" borderId="0" xfId="0" applyFont="1" applyFill="1" applyAlignment="1">
      <alignment horizontal="left" vertical="center" indent="1"/>
    </xf>
    <xf numFmtId="190" fontId="101" fillId="4" borderId="55" xfId="11" applyNumberFormat="1" applyFont="1" applyBorder="1" applyAlignment="1" applyProtection="1">
      <alignment horizontal="center"/>
      <protection locked="0"/>
    </xf>
    <xf numFmtId="172" fontId="101" fillId="4" borderId="55" xfId="11" applyNumberFormat="1" applyFont="1" applyBorder="1" applyAlignment="1" applyProtection="1">
      <alignment horizontal="center" vertical="top"/>
      <protection locked="0"/>
    </xf>
    <xf numFmtId="174" fontId="101" fillId="4" borderId="55" xfId="11" applyNumberFormat="1" applyFont="1" applyBorder="1" applyAlignment="1" applyProtection="1">
      <alignment horizontal="center" vertical="top"/>
      <protection locked="0"/>
    </xf>
    <xf numFmtId="173" fontId="101" fillId="4" borderId="55" xfId="11" applyNumberFormat="1" applyFont="1" applyBorder="1" applyAlignment="1" applyProtection="1">
      <alignment horizontal="center" vertical="top"/>
      <protection locked="0"/>
    </xf>
    <xf numFmtId="210" fontId="101" fillId="4" borderId="55" xfId="11" applyNumberFormat="1" applyFont="1" applyBorder="1" applyAlignment="1" applyProtection="1">
      <alignment horizontal="center" vertical="top"/>
      <protection locked="0"/>
    </xf>
    <xf numFmtId="187" fontId="101" fillId="4" borderId="55" xfId="11" applyNumberFormat="1" applyFont="1" applyBorder="1" applyAlignment="1" applyProtection="1">
      <alignment horizontal="center" vertical="top"/>
      <protection locked="0"/>
    </xf>
    <xf numFmtId="172" fontId="96" fillId="0" borderId="128" xfId="0" applyNumberFormat="1" applyFont="1" applyFill="1" applyBorder="1" applyProtection="1">
      <protection locked="0"/>
    </xf>
    <xf numFmtId="172" fontId="96" fillId="0" borderId="103" xfId="0" applyNumberFormat="1" applyFont="1" applyFill="1" applyBorder="1" applyProtection="1">
      <protection locked="0"/>
    </xf>
    <xf numFmtId="172" fontId="96" fillId="2" borderId="122" xfId="0" applyNumberFormat="1" applyFont="1" applyFill="1" applyBorder="1" applyProtection="1">
      <protection locked="0"/>
    </xf>
    <xf numFmtId="172" fontId="96" fillId="2" borderId="104" xfId="0" applyNumberFormat="1" applyFont="1" applyFill="1" applyBorder="1" applyProtection="1">
      <protection locked="0"/>
    </xf>
    <xf numFmtId="172" fontId="90" fillId="0" borderId="128" xfId="0" applyNumberFormat="1" applyFont="1" applyFill="1" applyBorder="1" applyProtection="1">
      <protection locked="0"/>
    </xf>
    <xf numFmtId="172" fontId="90" fillId="0" borderId="103" xfId="0" applyNumberFormat="1" applyFont="1" applyFill="1" applyBorder="1" applyProtection="1">
      <protection locked="0"/>
    </xf>
    <xf numFmtId="174" fontId="96" fillId="2" borderId="122" xfId="0" applyNumberFormat="1" applyFont="1" applyFill="1" applyBorder="1" applyProtection="1">
      <protection locked="0"/>
    </xf>
    <xf numFmtId="196" fontId="96" fillId="2" borderId="76" xfId="0" applyNumberFormat="1" applyFont="1" applyFill="1" applyBorder="1" applyProtection="1">
      <protection locked="0"/>
    </xf>
    <xf numFmtId="172" fontId="91" fillId="0" borderId="76" xfId="0" applyNumberFormat="1" applyFont="1" applyFill="1" applyBorder="1" applyProtection="1"/>
    <xf numFmtId="0" fontId="114" fillId="0" borderId="0" xfId="0" applyFont="1" applyAlignment="1" applyProtection="1">
      <alignment horizontal="center" vertical="center"/>
    </xf>
    <xf numFmtId="172" fontId="91" fillId="2" borderId="104" xfId="0" applyNumberFormat="1" applyFont="1" applyFill="1" applyBorder="1" applyAlignment="1" applyProtection="1">
      <alignment horizontal="center" vertical="top"/>
    </xf>
    <xf numFmtId="0" fontId="92" fillId="64" borderId="59" xfId="0" applyFont="1" applyFill="1" applyBorder="1"/>
    <xf numFmtId="0" fontId="91" fillId="64" borderId="57" xfId="0" applyFont="1" applyFill="1" applyBorder="1"/>
    <xf numFmtId="0" fontId="91" fillId="64" borderId="58" xfId="0" applyFont="1" applyFill="1" applyBorder="1"/>
    <xf numFmtId="0" fontId="92" fillId="64" borderId="70" xfId="0" applyFont="1" applyFill="1" applyBorder="1" applyAlignment="1">
      <alignment horizontal="center"/>
    </xf>
    <xf numFmtId="0" fontId="92" fillId="64" borderId="66" xfId="0" applyFont="1" applyFill="1" applyBorder="1" applyAlignment="1">
      <alignment horizontal="center"/>
    </xf>
    <xf numFmtId="0" fontId="92" fillId="64" borderId="64" xfId="0" applyFont="1" applyFill="1" applyBorder="1" applyAlignment="1">
      <alignment horizontal="center"/>
    </xf>
    <xf numFmtId="0" fontId="104" fillId="64" borderId="60" xfId="0" applyFont="1" applyFill="1" applyBorder="1" applyAlignment="1" applyProtection="1">
      <alignment horizontal="center" vertical="top"/>
    </xf>
    <xf numFmtId="0" fontId="104" fillId="64" borderId="60" xfId="0" quotePrefix="1" applyFont="1" applyFill="1" applyBorder="1" applyAlignment="1" applyProtection="1">
      <alignment horizontal="center" vertical="top"/>
    </xf>
    <xf numFmtId="0" fontId="104" fillId="64" borderId="61" xfId="0" applyFont="1" applyFill="1" applyBorder="1" applyAlignment="1" applyProtection="1">
      <alignment horizontal="center" vertical="top"/>
    </xf>
    <xf numFmtId="0" fontId="104" fillId="64" borderId="62" xfId="0" applyFont="1" applyFill="1" applyBorder="1" applyAlignment="1" applyProtection="1">
      <alignment horizontal="center" vertical="top"/>
    </xf>
    <xf numFmtId="0" fontId="129" fillId="0" borderId="0" xfId="0" applyFont="1" applyBorder="1" applyAlignment="1" applyProtection="1">
      <alignment horizontal="center" vertical="center"/>
    </xf>
    <xf numFmtId="0" fontId="96" fillId="2" borderId="67" xfId="0" applyFont="1" applyFill="1" applyBorder="1" applyAlignment="1" applyProtection="1">
      <alignment horizontal="center" vertical="center"/>
      <protection locked="0"/>
    </xf>
    <xf numFmtId="172" fontId="96" fillId="2" borderId="69" xfId="0" applyNumberFormat="1" applyFont="1" applyFill="1" applyBorder="1" applyAlignment="1" applyProtection="1">
      <alignment horizontal="center" vertical="center"/>
      <protection locked="0"/>
    </xf>
    <xf numFmtId="172" fontId="96" fillId="2" borderId="72" xfId="0" applyNumberFormat="1" applyFont="1" applyFill="1" applyBorder="1" applyAlignment="1" applyProtection="1">
      <alignment horizontal="center" vertical="center"/>
      <protection locked="0"/>
    </xf>
    <xf numFmtId="172" fontId="96" fillId="2" borderId="73" xfId="0" applyNumberFormat="1" applyFont="1" applyFill="1" applyBorder="1" applyAlignment="1" applyProtection="1">
      <alignment horizontal="center" vertical="center"/>
      <protection locked="0"/>
    </xf>
    <xf numFmtId="0" fontId="92" fillId="0" borderId="5" xfId="0" applyFont="1" applyFill="1" applyBorder="1"/>
    <xf numFmtId="174" fontId="92" fillId="0" borderId="6" xfId="0" applyNumberFormat="1" applyFont="1" applyFill="1" applyBorder="1" applyAlignment="1">
      <alignment horizontal="right"/>
    </xf>
    <xf numFmtId="0" fontId="92" fillId="0" borderId="6" xfId="0" applyFont="1" applyFill="1" applyBorder="1"/>
    <xf numFmtId="174" fontId="92" fillId="0" borderId="6" xfId="0" applyNumberFormat="1" applyFont="1" applyFill="1" applyBorder="1" applyAlignment="1" applyProtection="1">
      <alignment horizontal="right"/>
    </xf>
    <xf numFmtId="0" fontId="106" fillId="0" borderId="0" xfId="0" applyFont="1" applyFill="1" applyBorder="1"/>
    <xf numFmtId="0" fontId="96" fillId="0" borderId="50" xfId="0" applyFont="1" applyFill="1" applyBorder="1" applyAlignment="1" applyProtection="1">
      <alignment vertical="center"/>
      <protection locked="0"/>
    </xf>
    <xf numFmtId="172" fontId="96" fillId="0" borderId="50" xfId="0" applyNumberFormat="1" applyFont="1" applyFill="1" applyBorder="1" applyProtection="1">
      <protection locked="0"/>
    </xf>
    <xf numFmtId="0" fontId="89" fillId="0" borderId="76" xfId="0" applyFont="1" applyBorder="1"/>
    <xf numFmtId="0" fontId="90" fillId="0" borderId="50" xfId="0" applyFont="1" applyBorder="1" applyAlignment="1" applyProtection="1">
      <alignment vertical="center"/>
      <protection locked="0"/>
    </xf>
    <xf numFmtId="172" fontId="91" fillId="2" borderId="55" xfId="0" applyNumberFormat="1" applyFont="1" applyFill="1" applyBorder="1" applyAlignment="1">
      <alignment horizontal="right" vertical="top"/>
    </xf>
    <xf numFmtId="174" fontId="96" fillId="2" borderId="129" xfId="0" applyNumberFormat="1" applyFont="1" applyFill="1" applyBorder="1" applyProtection="1">
      <protection locked="0"/>
    </xf>
    <xf numFmtId="172" fontId="96" fillId="2" borderId="75" xfId="0" applyNumberFormat="1" applyFont="1" applyFill="1" applyBorder="1" applyProtection="1">
      <protection locked="0"/>
    </xf>
    <xf numFmtId="172" fontId="96" fillId="0" borderId="75" xfId="0" applyNumberFormat="1" applyFont="1" applyFill="1" applyBorder="1" applyProtection="1">
      <protection locked="0"/>
    </xf>
    <xf numFmtId="172" fontId="96" fillId="0" borderId="130" xfId="0" applyNumberFormat="1" applyFont="1" applyFill="1" applyBorder="1" applyProtection="1">
      <protection locked="0"/>
    </xf>
    <xf numFmtId="172" fontId="96" fillId="2" borderId="129" xfId="0" applyNumberFormat="1" applyFont="1" applyFill="1" applyBorder="1" applyProtection="1">
      <protection locked="0"/>
    </xf>
    <xf numFmtId="172" fontId="96" fillId="2" borderId="131" xfId="0" applyNumberFormat="1" applyFont="1" applyFill="1" applyBorder="1" applyProtection="1">
      <protection locked="0"/>
    </xf>
    <xf numFmtId="174" fontId="91" fillId="0" borderId="47" xfId="0" applyNumberFormat="1" applyFont="1" applyFill="1" applyBorder="1" applyProtection="1"/>
    <xf numFmtId="0" fontId="91" fillId="2" borderId="47" xfId="0" quotePrefix="1" applyFont="1" applyFill="1" applyBorder="1" applyProtection="1">
      <protection locked="0"/>
    </xf>
    <xf numFmtId="0" fontId="92" fillId="0" borderId="57" xfId="0" applyFont="1" applyBorder="1" applyAlignment="1" applyProtection="1">
      <alignment horizontal="left" wrapText="1"/>
    </xf>
    <xf numFmtId="172" fontId="91" fillId="0" borderId="57" xfId="0" applyNumberFormat="1" applyFont="1" applyBorder="1" applyAlignment="1" applyProtection="1">
      <alignment horizontal="center"/>
    </xf>
    <xf numFmtId="174" fontId="91" fillId="68" borderId="55" xfId="0" applyNumberFormat="1" applyFont="1" applyFill="1" applyBorder="1" applyAlignment="1">
      <alignment horizontal="right" vertical="top"/>
    </xf>
    <xf numFmtId="172" fontId="92" fillId="0" borderId="57" xfId="0" quotePrefix="1" applyNumberFormat="1" applyFont="1" applyBorder="1" applyAlignment="1" applyProtection="1">
      <alignment horizontal="right"/>
    </xf>
    <xf numFmtId="0" fontId="0" fillId="0" borderId="55" xfId="0" applyFill="1" applyBorder="1"/>
    <xf numFmtId="0" fontId="91" fillId="0" borderId="55" xfId="0" applyFont="1" applyFill="1" applyBorder="1"/>
    <xf numFmtId="0" fontId="96" fillId="2" borderId="50" xfId="0" applyFont="1" applyFill="1" applyBorder="1" applyAlignment="1" applyProtection="1">
      <alignment horizontal="center"/>
      <protection locked="0"/>
    </xf>
    <xf numFmtId="49" fontId="96" fillId="2" borderId="50" xfId="0" applyNumberFormat="1" applyFont="1" applyFill="1" applyBorder="1" applyAlignment="1" applyProtection="1">
      <alignment horizontal="center"/>
      <protection locked="0"/>
    </xf>
    <xf numFmtId="173" fontId="96" fillId="2" borderId="132" xfId="0" applyNumberFormat="1" applyFont="1" applyFill="1" applyBorder="1" applyAlignment="1" applyProtection="1">
      <alignment horizontal="center"/>
      <protection locked="0"/>
    </xf>
    <xf numFmtId="172" fontId="91" fillId="3" borderId="57" xfId="0" applyNumberFormat="1" applyFont="1" applyFill="1" applyBorder="1"/>
    <xf numFmtId="194" fontId="91" fillId="3" borderId="57" xfId="0" quotePrefix="1" applyNumberFormat="1" applyFont="1" applyFill="1" applyBorder="1" applyAlignment="1">
      <alignment horizontal="center"/>
    </xf>
    <xf numFmtId="0" fontId="129" fillId="0" borderId="124" xfId="0" applyFont="1" applyFill="1" applyBorder="1" applyAlignment="1">
      <alignment horizontal="left" indent="1"/>
    </xf>
    <xf numFmtId="0" fontId="91" fillId="2" borderId="47" xfId="0" applyFont="1" applyFill="1" applyBorder="1" applyAlignment="1" applyProtection="1">
      <alignment wrapText="1"/>
      <protection locked="0"/>
    </xf>
    <xf numFmtId="0" fontId="96" fillId="2" borderId="129" xfId="0" applyFont="1" applyFill="1" applyBorder="1" applyAlignment="1" applyProtection="1">
      <alignment horizontal="center" vertical="center"/>
      <protection locked="0"/>
    </xf>
    <xf numFmtId="0" fontId="96" fillId="2" borderId="104" xfId="0" applyFont="1" applyFill="1" applyBorder="1" applyAlignment="1" applyProtection="1">
      <alignment horizontal="center" vertical="center"/>
      <protection locked="0"/>
    </xf>
    <xf numFmtId="0" fontId="96" fillId="2" borderId="133" xfId="0" applyFont="1" applyFill="1" applyBorder="1" applyAlignment="1" applyProtection="1">
      <alignment horizontal="center" vertical="center"/>
      <protection locked="0"/>
    </xf>
    <xf numFmtId="0" fontId="96" fillId="2" borderId="75" xfId="0" applyFont="1" applyFill="1" applyBorder="1" applyAlignment="1" applyProtection="1">
      <alignment horizontal="center" vertical="center"/>
      <protection locked="0"/>
    </xf>
    <xf numFmtId="0" fontId="96" fillId="2" borderId="131" xfId="0" applyFont="1" applyFill="1" applyBorder="1" applyAlignment="1" applyProtection="1">
      <alignment horizontal="center" vertical="center"/>
      <protection locked="0"/>
    </xf>
    <xf numFmtId="0" fontId="96" fillId="2" borderId="113" xfId="0" applyFont="1" applyFill="1" applyBorder="1" applyAlignment="1" applyProtection="1">
      <alignment horizontal="center" vertical="center"/>
      <protection locked="0"/>
    </xf>
    <xf numFmtId="0" fontId="107" fillId="3" borderId="0" xfId="0" applyFont="1" applyFill="1" applyBorder="1" applyProtection="1"/>
    <xf numFmtId="0" fontId="91" fillId="0" borderId="0" xfId="0" applyFont="1" applyFill="1" applyBorder="1" applyAlignment="1" applyProtection="1">
      <alignment horizontal="right" vertical="top"/>
    </xf>
    <xf numFmtId="172" fontId="92" fillId="0" borderId="0" xfId="0" applyNumberFormat="1" applyFont="1" applyFill="1" applyBorder="1" applyAlignment="1" applyProtection="1">
      <alignment horizontal="right" vertical="top"/>
    </xf>
    <xf numFmtId="0" fontId="149" fillId="2" borderId="104" xfId="0" applyFont="1" applyFill="1" applyBorder="1" applyProtection="1">
      <protection locked="0"/>
    </xf>
    <xf numFmtId="0" fontId="92" fillId="3" borderId="1" xfId="0" applyFont="1" applyFill="1" applyBorder="1" applyProtection="1"/>
    <xf numFmtId="0" fontId="129" fillId="0" borderId="0" xfId="0" applyFont="1" applyFill="1" applyAlignment="1">
      <alignment horizontal="center" vertical="center"/>
    </xf>
    <xf numFmtId="174" fontId="96" fillId="4" borderId="55" xfId="11" applyNumberFormat="1" applyFont="1" applyBorder="1" applyAlignment="1" applyProtection="1">
      <alignment horizontal="right" vertical="center"/>
      <protection locked="0"/>
    </xf>
    <xf numFmtId="0" fontId="106" fillId="0" borderId="57" xfId="0" applyFont="1" applyBorder="1"/>
    <xf numFmtId="0" fontId="92" fillId="61" borderId="47" xfId="0" applyFont="1" applyFill="1" applyBorder="1" applyAlignment="1" applyProtection="1">
      <alignment horizontal="center" vertical="top"/>
    </xf>
    <xf numFmtId="0" fontId="104" fillId="72" borderId="0" xfId="0" applyFont="1" applyFill="1"/>
    <xf numFmtId="174" fontId="104" fillId="72" borderId="0" xfId="0" applyNumberFormat="1" applyFont="1" applyFill="1" applyAlignment="1">
      <alignment horizontal="right"/>
    </xf>
    <xf numFmtId="0" fontId="104" fillId="72" borderId="0" xfId="0" applyFont="1" applyFill="1" applyBorder="1" applyAlignment="1" applyProtection="1">
      <alignment horizontal="right"/>
    </xf>
    <xf numFmtId="164" fontId="104" fillId="72" borderId="0" xfId="0" applyNumberFormat="1" applyFont="1" applyFill="1" applyBorder="1" applyAlignment="1" applyProtection="1">
      <alignment horizontal="right"/>
    </xf>
    <xf numFmtId="0" fontId="150" fillId="0" borderId="0" xfId="0" applyFont="1" applyFill="1" applyBorder="1" applyAlignment="1" applyProtection="1">
      <alignment horizontal="left"/>
    </xf>
    <xf numFmtId="172" fontId="96" fillId="2" borderId="0" xfId="0" applyNumberFormat="1" applyFont="1" applyFill="1" applyBorder="1" applyAlignment="1" applyProtection="1">
      <alignment horizontal="right"/>
      <protection locked="0"/>
    </xf>
    <xf numFmtId="0" fontId="151" fillId="61" borderId="1" xfId="0" applyFont="1" applyFill="1" applyBorder="1" applyProtection="1"/>
    <xf numFmtId="0" fontId="152" fillId="61" borderId="1" xfId="0" applyFont="1" applyFill="1" applyBorder="1" applyProtection="1"/>
    <xf numFmtId="0" fontId="61" fillId="61" borderId="1" xfId="0" applyFont="1" applyFill="1" applyBorder="1" applyProtection="1"/>
    <xf numFmtId="195" fontId="61" fillId="61" borderId="1" xfId="0" applyNumberFormat="1" applyFont="1" applyFill="1" applyBorder="1" applyProtection="1"/>
    <xf numFmtId="0" fontId="151" fillId="60" borderId="1" xfId="0" applyFont="1" applyFill="1" applyBorder="1" applyProtection="1"/>
    <xf numFmtId="164" fontId="61" fillId="60" borderId="1" xfId="0" applyNumberFormat="1" applyFont="1" applyFill="1" applyBorder="1" applyAlignment="1" applyProtection="1">
      <alignment horizontal="center" vertical="top"/>
    </xf>
    <xf numFmtId="165" fontId="61" fillId="60" borderId="1" xfId="0" applyNumberFormat="1" applyFont="1" applyFill="1" applyBorder="1" applyProtection="1"/>
    <xf numFmtId="165" fontId="61" fillId="60" borderId="1" xfId="0" applyNumberFormat="1" applyFont="1" applyFill="1" applyBorder="1" applyAlignment="1" applyProtection="1">
      <alignment horizontal="right"/>
    </xf>
    <xf numFmtId="195" fontId="61" fillId="60" borderId="1" xfId="0" applyNumberFormat="1" applyFont="1" applyFill="1" applyBorder="1" applyAlignment="1" applyProtection="1">
      <alignment horizontal="right"/>
    </xf>
    <xf numFmtId="0" fontId="151" fillId="63" borderId="1" xfId="0" applyFont="1" applyFill="1" applyBorder="1" applyProtection="1"/>
    <xf numFmtId="164" fontId="61" fillId="63" borderId="1" xfId="0" applyNumberFormat="1" applyFont="1" applyFill="1" applyBorder="1" applyAlignment="1" applyProtection="1">
      <alignment horizontal="center" vertical="top"/>
    </xf>
    <xf numFmtId="164" fontId="61" fillId="63" borderId="1" xfId="0" quotePrefix="1" applyNumberFormat="1" applyFont="1" applyFill="1" applyBorder="1" applyAlignment="1" applyProtection="1">
      <alignment horizontal="center" vertical="top"/>
    </xf>
    <xf numFmtId="165" fontId="61" fillId="63" borderId="1" xfId="0" applyNumberFormat="1" applyFont="1" applyFill="1" applyBorder="1" applyAlignment="1" applyProtection="1">
      <alignment horizontal="right"/>
    </xf>
    <xf numFmtId="195" fontId="61" fillId="63" borderId="1" xfId="0" applyNumberFormat="1" applyFont="1" applyFill="1" applyBorder="1" applyAlignment="1" applyProtection="1">
      <alignment horizontal="right"/>
    </xf>
    <xf numFmtId="0" fontId="151" fillId="62" borderId="66" xfId="0" applyFont="1" applyFill="1" applyBorder="1" applyProtection="1"/>
    <xf numFmtId="0" fontId="152" fillId="62" borderId="66" xfId="0" applyFont="1" applyFill="1" applyBorder="1" applyProtection="1"/>
    <xf numFmtId="0" fontId="61" fillId="62" borderId="66" xfId="0" applyFont="1" applyFill="1" applyBorder="1" applyProtection="1"/>
    <xf numFmtId="195" fontId="61" fillId="62" borderId="66" xfId="0" applyNumberFormat="1" applyFont="1" applyFill="1" applyBorder="1" applyProtection="1"/>
    <xf numFmtId="164" fontId="152" fillId="63" borderId="66" xfId="0" applyNumberFormat="1" applyFont="1" applyFill="1" applyBorder="1" applyAlignment="1" applyProtection="1">
      <alignment horizontal="center" vertical="top"/>
    </xf>
    <xf numFmtId="0" fontId="110" fillId="60" borderId="0" xfId="0" applyFont="1" applyFill="1" applyProtection="1"/>
    <xf numFmtId="165" fontId="152" fillId="60" borderId="0" xfId="0" applyNumberFormat="1" applyFont="1" applyFill="1" applyProtection="1"/>
    <xf numFmtId="165" fontId="152" fillId="60" borderId="0" xfId="0" applyNumberFormat="1" applyFont="1" applyFill="1" applyAlignment="1" applyProtection="1">
      <alignment horizontal="right"/>
    </xf>
    <xf numFmtId="0" fontId="61" fillId="62" borderId="66" xfId="0" applyFont="1" applyFill="1" applyBorder="1" applyAlignment="1" applyProtection="1">
      <alignment horizontal="right"/>
    </xf>
    <xf numFmtId="195" fontId="61" fillId="62" borderId="66" xfId="0" applyNumberFormat="1" applyFont="1" applyFill="1" applyBorder="1" applyAlignment="1" applyProtection="1">
      <alignment horizontal="right"/>
    </xf>
    <xf numFmtId="0" fontId="110" fillId="63" borderId="0" xfId="0" applyFont="1" applyFill="1" applyProtection="1"/>
    <xf numFmtId="164" fontId="110" fillId="63" borderId="0" xfId="0" applyNumberFormat="1" applyFont="1" applyFill="1" applyAlignment="1" applyProtection="1">
      <alignment horizontal="center" vertical="top"/>
    </xf>
    <xf numFmtId="164" fontId="152" fillId="63" borderId="0" xfId="0" applyNumberFormat="1" applyFont="1" applyFill="1" applyAlignment="1" applyProtection="1">
      <alignment horizontal="center" vertical="top"/>
    </xf>
    <xf numFmtId="164" fontId="152" fillId="63" borderId="0" xfId="0" applyNumberFormat="1" applyFont="1" applyFill="1" applyAlignment="1" applyProtection="1">
      <alignment horizontal="right" vertical="top"/>
    </xf>
    <xf numFmtId="216" fontId="91" fillId="0" borderId="0" xfId="0" applyNumberFormat="1" applyFont="1"/>
    <xf numFmtId="172" fontId="91" fillId="2" borderId="0" xfId="0" applyNumberFormat="1" applyFont="1" applyFill="1" applyAlignment="1" applyProtection="1">
      <alignment horizontal="right" vertical="top"/>
    </xf>
    <xf numFmtId="0" fontId="92" fillId="66" borderId="5" xfId="0" applyFont="1" applyFill="1" applyBorder="1"/>
    <xf numFmtId="174" fontId="92" fillId="66" borderId="6" xfId="0" applyNumberFormat="1" applyFont="1" applyFill="1" applyBorder="1" applyAlignment="1">
      <alignment horizontal="right"/>
    </xf>
    <xf numFmtId="174" fontId="92" fillId="66" borderId="6" xfId="0" applyNumberFormat="1" applyFont="1" applyFill="1" applyBorder="1" applyAlignment="1" applyProtection="1">
      <alignment horizontal="right"/>
    </xf>
    <xf numFmtId="0" fontId="91" fillId="66" borderId="6" xfId="0" applyFont="1" applyFill="1" applyBorder="1"/>
    <xf numFmtId="0" fontId="92" fillId="66" borderId="53" xfId="0" applyFont="1" applyFill="1" applyBorder="1"/>
    <xf numFmtId="174" fontId="92" fillId="66" borderId="53" xfId="0" applyNumberFormat="1" applyFont="1" applyFill="1" applyBorder="1" applyAlignment="1">
      <alignment horizontal="right"/>
    </xf>
    <xf numFmtId="184" fontId="92" fillId="66" borderId="53" xfId="0" applyNumberFormat="1" applyFont="1" applyFill="1" applyBorder="1" applyAlignment="1" applyProtection="1">
      <alignment horizontal="right"/>
    </xf>
    <xf numFmtId="0" fontId="105" fillId="2" borderId="47" xfId="0" applyFont="1" applyFill="1" applyBorder="1" applyProtection="1">
      <protection locked="0"/>
    </xf>
    <xf numFmtId="0" fontId="92" fillId="0" borderId="0" xfId="0" applyFont="1" applyFill="1" applyBorder="1" applyAlignment="1">
      <alignment horizontal="right"/>
    </xf>
    <xf numFmtId="174" fontId="90" fillId="0" borderId="0" xfId="4" applyNumberFormat="1" applyFont="1" applyFill="1" applyBorder="1" applyAlignment="1" applyProtection="1">
      <alignment horizontal="center"/>
    </xf>
    <xf numFmtId="183" fontId="92" fillId="0" borderId="0" xfId="4" applyNumberFormat="1" applyFont="1" applyFill="1" applyBorder="1" applyAlignment="1" applyProtection="1">
      <alignment horizontal="center"/>
      <protection locked="0"/>
    </xf>
    <xf numFmtId="183" fontId="92" fillId="0" borderId="57" xfId="4" applyNumberFormat="1" applyFont="1" applyFill="1" applyBorder="1" applyAlignment="1" applyProtection="1">
      <alignment horizontal="center"/>
      <protection locked="0"/>
    </xf>
    <xf numFmtId="174" fontId="90" fillId="0" borderId="57" xfId="4" applyNumberFormat="1" applyFont="1" applyFill="1" applyBorder="1" applyAlignment="1" applyProtection="1">
      <alignment horizontal="center"/>
    </xf>
    <xf numFmtId="172" fontId="91" fillId="66" borderId="57" xfId="0" applyNumberFormat="1" applyFont="1" applyFill="1" applyBorder="1" applyAlignment="1">
      <alignment horizontal="center"/>
    </xf>
    <xf numFmtId="0" fontId="92" fillId="66" borderId="57" xfId="0" applyFont="1" applyFill="1" applyBorder="1"/>
    <xf numFmtId="174" fontId="92" fillId="66" borderId="57" xfId="0" applyNumberFormat="1" applyFont="1" applyFill="1" applyBorder="1" applyAlignment="1">
      <alignment horizontal="right"/>
    </xf>
    <xf numFmtId="172" fontId="92" fillId="66" borderId="57" xfId="0" applyNumberFormat="1" applyFont="1" applyFill="1" applyBorder="1" applyAlignment="1">
      <alignment horizontal="center"/>
    </xf>
    <xf numFmtId="172" fontId="92" fillId="66" borderId="57" xfId="0" applyNumberFormat="1" applyFont="1" applyFill="1" applyBorder="1" applyAlignment="1" applyProtection="1">
      <alignment horizontal="right"/>
    </xf>
    <xf numFmtId="172" fontId="92" fillId="66" borderId="57" xfId="0" applyNumberFormat="1" applyFont="1" applyFill="1" applyBorder="1" applyAlignment="1">
      <alignment horizontal="left"/>
    </xf>
    <xf numFmtId="0" fontId="92" fillId="66" borderId="0" xfId="0" applyFont="1" applyFill="1"/>
    <xf numFmtId="172" fontId="91" fillId="66" borderId="0" xfId="0" applyNumberFormat="1" applyFont="1" applyFill="1" applyBorder="1" applyAlignment="1">
      <alignment horizontal="right"/>
    </xf>
    <xf numFmtId="172" fontId="91" fillId="66" borderId="0" xfId="0" applyNumberFormat="1" applyFont="1" applyFill="1" applyBorder="1" applyAlignment="1">
      <alignment horizontal="center"/>
    </xf>
    <xf numFmtId="187" fontId="101" fillId="4" borderId="55" xfId="11" applyNumberFormat="1" applyFont="1" applyBorder="1" applyAlignment="1" applyProtection="1">
      <alignment horizontal="right"/>
      <protection locked="0"/>
    </xf>
    <xf numFmtId="175" fontId="96" fillId="70" borderId="55" xfId="11" applyNumberFormat="1" applyFont="1" applyFill="1" applyBorder="1" applyAlignment="1" applyProtection="1">
      <alignment horizontal="right"/>
      <protection locked="0"/>
    </xf>
    <xf numFmtId="174" fontId="101" fillId="2" borderId="104" xfId="0" applyNumberFormat="1" applyFont="1" applyFill="1" applyBorder="1" applyAlignment="1" applyProtection="1">
      <alignment horizontal="right" wrapText="1"/>
      <protection locked="0"/>
    </xf>
    <xf numFmtId="0" fontId="104" fillId="66" borderId="0" xfId="0" applyFont="1" applyFill="1"/>
    <xf numFmtId="174" fontId="104" fillId="66" borderId="0" xfId="0" applyNumberFormat="1" applyFont="1" applyFill="1" applyAlignment="1">
      <alignment horizontal="right"/>
    </xf>
    <xf numFmtId="0" fontId="104" fillId="66" borderId="0" xfId="0" applyFont="1" applyFill="1" applyBorder="1" applyAlignment="1" applyProtection="1">
      <alignment horizontal="right"/>
    </xf>
    <xf numFmtId="164" fontId="104" fillId="66" borderId="0" xfId="0" applyNumberFormat="1" applyFont="1" applyFill="1" applyBorder="1" applyAlignment="1" applyProtection="1">
      <alignment horizontal="right"/>
    </xf>
    <xf numFmtId="172" fontId="92" fillId="66" borderId="6" xfId="0" applyNumberFormat="1" applyFont="1" applyFill="1" applyBorder="1" applyAlignment="1">
      <alignment horizontal="center"/>
    </xf>
    <xf numFmtId="172" fontId="96" fillId="2" borderId="103" xfId="0" applyNumberFormat="1" applyFont="1" applyFill="1" applyBorder="1" applyAlignment="1" applyProtection="1">
      <alignment horizontal="right"/>
      <protection locked="0"/>
    </xf>
    <xf numFmtId="0" fontId="104" fillId="66" borderId="57" xfId="0" applyFont="1" applyFill="1" applyBorder="1"/>
    <xf numFmtId="174" fontId="104" fillId="66" borderId="57" xfId="0" applyNumberFormat="1" applyFont="1" applyFill="1" applyBorder="1" applyAlignment="1">
      <alignment horizontal="right"/>
    </xf>
    <xf numFmtId="174" fontId="104" fillId="66" borderId="57" xfId="0" applyNumberFormat="1" applyFont="1" applyFill="1" applyBorder="1" applyAlignment="1" applyProtection="1">
      <alignment horizontal="right"/>
    </xf>
    <xf numFmtId="174" fontId="96" fillId="2" borderId="0" xfId="0" applyNumberFormat="1" applyFont="1" applyFill="1" applyBorder="1" applyAlignment="1" applyProtection="1">
      <alignment horizontal="right"/>
    </xf>
    <xf numFmtId="174" fontId="91" fillId="0" borderId="0" xfId="0" quotePrefix="1" applyNumberFormat="1" applyFont="1" applyFill="1" applyBorder="1" applyAlignment="1" applyProtection="1">
      <alignment horizontal="right"/>
    </xf>
    <xf numFmtId="174" fontId="104" fillId="66" borderId="0" xfId="0" applyNumberFormat="1" applyFont="1" applyFill="1" applyBorder="1" applyAlignment="1" applyProtection="1">
      <alignment horizontal="right"/>
    </xf>
    <xf numFmtId="172" fontId="91" fillId="0" borderId="15" xfId="0" applyNumberFormat="1" applyFont="1" applyBorder="1" applyAlignment="1" applyProtection="1">
      <alignment horizontal="right"/>
    </xf>
    <xf numFmtId="174" fontId="153" fillId="0" borderId="0" xfId="0" applyNumberFormat="1" applyFont="1" applyAlignment="1" applyProtection="1">
      <alignment horizontal="right"/>
    </xf>
    <xf numFmtId="0" fontId="92" fillId="66" borderId="6" xfId="0" applyFont="1" applyFill="1" applyBorder="1"/>
    <xf numFmtId="190" fontId="91" fillId="0" borderId="0" xfId="0" applyNumberFormat="1" applyFont="1" applyAlignment="1" applyProtection="1">
      <alignment horizontal="center" vertical="top"/>
    </xf>
    <xf numFmtId="0" fontId="129" fillId="0" borderId="134" xfId="0" applyFont="1" applyFill="1" applyBorder="1" applyAlignment="1">
      <alignment horizontal="left" indent="1"/>
    </xf>
    <xf numFmtId="0" fontId="0" fillId="63" borderId="0" xfId="0" applyFill="1"/>
    <xf numFmtId="164" fontId="96" fillId="4" borderId="55" xfId="11" applyNumberFormat="1" applyFont="1" applyBorder="1" applyAlignment="1" applyProtection="1">
      <alignment horizontal="center" vertical="top"/>
      <protection locked="0"/>
    </xf>
    <xf numFmtId="164" fontId="96" fillId="2" borderId="55" xfId="11" applyNumberFormat="1" applyFont="1" applyFill="1" applyBorder="1" applyAlignment="1" applyProtection="1">
      <alignment horizontal="center" vertical="top"/>
      <protection locked="0"/>
    </xf>
    <xf numFmtId="165" fontId="91" fillId="4" borderId="103" xfId="11" applyNumberFormat="1" applyFont="1" applyBorder="1" applyAlignment="1" applyProtection="1">
      <alignment horizontal="center" vertical="top"/>
      <protection locked="0"/>
    </xf>
    <xf numFmtId="0" fontId="92" fillId="0" borderId="57" xfId="0" applyFont="1" applyBorder="1" applyProtection="1"/>
    <xf numFmtId="172" fontId="91" fillId="0" borderId="57" xfId="0" applyNumberFormat="1" applyFont="1" applyFill="1" applyBorder="1"/>
    <xf numFmtId="190" fontId="96" fillId="4" borderId="67"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165" fontId="91" fillId="5" borderId="113" xfId="11" applyNumberFormat="1" applyFont="1" applyFill="1" applyBorder="1" applyAlignment="1">
      <alignment horizontal="center" vertical="center"/>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5" fillId="2" borderId="0" xfId="0" applyFont="1" applyFill="1" applyProtection="1"/>
    <xf numFmtId="0" fontId="11" fillId="2" borderId="0" xfId="0" applyFont="1" applyFill="1" applyProtection="1"/>
    <xf numFmtId="0" fontId="135" fillId="0" borderId="0" xfId="0" applyFont="1"/>
    <xf numFmtId="0" fontId="11" fillId="0" borderId="1" xfId="0" applyFont="1" applyBorder="1" applyProtection="1"/>
    <xf numFmtId="0" fontId="0" fillId="0" borderId="1" xfId="0" applyBorder="1" applyProtection="1"/>
    <xf numFmtId="0" fontId="135" fillId="0" borderId="1" xfId="0" applyFont="1" applyBorder="1"/>
    <xf numFmtId="0" fontId="83" fillId="0" borderId="1" xfId="0" applyFont="1" applyBorder="1"/>
    <xf numFmtId="0" fontId="135" fillId="0" borderId="1" xfId="0" applyFont="1" applyBorder="1" applyProtection="1"/>
    <xf numFmtId="0" fontId="11" fillId="0" borderId="1" xfId="0" applyFont="1" applyBorder="1" applyAlignment="1" applyProtection="1">
      <alignment horizontal="right"/>
    </xf>
    <xf numFmtId="0" fontId="11" fillId="0" borderId="1" xfId="0" applyFont="1" applyBorder="1"/>
    <xf numFmtId="174" fontId="83" fillId="0" borderId="0" xfId="0" applyNumberFormat="1" applyFont="1" applyAlignment="1">
      <alignment horizontal="right"/>
    </xf>
    <xf numFmtId="0" fontId="135" fillId="63" borderId="0" xfId="0" applyFont="1" applyFill="1" applyProtection="1"/>
    <xf numFmtId="0" fontId="83" fillId="63" borderId="0" xfId="0" applyFont="1" applyFill="1" applyProtection="1"/>
    <xf numFmtId="0" fontId="83" fillId="63" borderId="0" xfId="0" applyFont="1" applyFill="1"/>
    <xf numFmtId="0" fontId="0" fillId="63" borderId="0" xfId="0" applyFill="1" applyProtection="1"/>
    <xf numFmtId="0" fontId="135" fillId="64" borderId="0" xfId="0" applyFont="1" applyFill="1" applyProtection="1"/>
    <xf numFmtId="0" fontId="83" fillId="64" borderId="0" xfId="0" applyFont="1" applyFill="1" applyProtection="1"/>
    <xf numFmtId="0" fontId="83" fillId="64" borderId="0" xfId="0" applyFont="1" applyFill="1"/>
    <xf numFmtId="0" fontId="0" fillId="64" borderId="0" xfId="0" applyFill="1" applyProtection="1"/>
    <xf numFmtId="0" fontId="135" fillId="66" borderId="1" xfId="0" applyFont="1" applyFill="1" applyBorder="1" applyProtection="1"/>
    <xf numFmtId="0" fontId="83" fillId="66" borderId="1" xfId="0" applyFont="1" applyFill="1" applyBorder="1" applyProtection="1"/>
    <xf numFmtId="0" fontId="83" fillId="66" borderId="1" xfId="0" applyFont="1" applyFill="1" applyBorder="1"/>
    <xf numFmtId="0" fontId="0" fillId="66" borderId="1" xfId="0" applyFill="1" applyBorder="1" applyProtection="1"/>
    <xf numFmtId="0" fontId="135" fillId="62" borderId="1" xfId="0" applyFont="1" applyFill="1" applyBorder="1" applyProtection="1"/>
    <xf numFmtId="0" fontId="83" fillId="62" borderId="1" xfId="0" applyFont="1" applyFill="1" applyBorder="1" applyProtection="1"/>
    <xf numFmtId="0" fontId="83" fillId="62" borderId="1" xfId="0" applyFont="1" applyFill="1" applyBorder="1"/>
    <xf numFmtId="0" fontId="0" fillId="62" borderId="1" xfId="0" applyFill="1" applyBorder="1" applyProtection="1"/>
    <xf numFmtId="0" fontId="112" fillId="70" borderId="1" xfId="0" applyFont="1" applyFill="1" applyBorder="1" applyProtection="1"/>
    <xf numFmtId="43" fontId="112" fillId="70" borderId="1" xfId="4" applyFont="1" applyFill="1" applyBorder="1" applyAlignment="1" applyProtection="1">
      <alignment horizontal="center"/>
    </xf>
    <xf numFmtId="43" fontId="112" fillId="70" borderId="1" xfId="4" applyFont="1" applyFill="1" applyBorder="1" applyAlignment="1" applyProtection="1">
      <alignment horizontal="center" wrapText="1"/>
    </xf>
    <xf numFmtId="9" fontId="112" fillId="70" borderId="1" xfId="4" applyNumberFormat="1" applyFont="1" applyFill="1" applyBorder="1" applyAlignment="1" applyProtection="1">
      <alignment horizontal="center" wrapText="1"/>
    </xf>
    <xf numFmtId="175" fontId="138" fillId="70" borderId="1" xfId="4" applyNumberFormat="1" applyFont="1" applyFill="1" applyBorder="1" applyAlignment="1" applyProtection="1">
      <alignment horizontal="center" wrapText="1"/>
      <protection locked="0"/>
    </xf>
    <xf numFmtId="0" fontId="64" fillId="70" borderId="1" xfId="8" applyFont="1" applyFill="1" applyBorder="1" applyAlignment="1" applyProtection="1">
      <alignment horizontal="center" wrapText="1"/>
    </xf>
    <xf numFmtId="0" fontId="112" fillId="70" borderId="1" xfId="0" applyFont="1" applyFill="1" applyBorder="1" applyAlignment="1" applyProtection="1">
      <alignment horizontal="right" wrapText="1"/>
    </xf>
    <xf numFmtId="0" fontId="112" fillId="70" borderId="1" xfId="0" applyFont="1" applyFill="1" applyBorder="1" applyAlignment="1">
      <alignment horizontal="center"/>
    </xf>
    <xf numFmtId="0" fontId="138" fillId="70" borderId="1" xfId="0" applyFont="1" applyFill="1" applyBorder="1" applyAlignment="1" applyProtection="1">
      <alignment horizontal="center"/>
    </xf>
    <xf numFmtId="5" fontId="120" fillId="70" borderId="1" xfId="8" applyNumberFormat="1" applyFont="1" applyFill="1" applyBorder="1" applyAlignment="1" applyProtection="1">
      <alignment horizontal="center" wrapText="1"/>
    </xf>
    <xf numFmtId="5" fontId="64" fillId="70" borderId="1" xfId="8" applyNumberFormat="1" applyFont="1" applyFill="1" applyBorder="1" applyAlignment="1" applyProtection="1">
      <alignment horizontal="center" wrapText="1"/>
    </xf>
    <xf numFmtId="0" fontId="107" fillId="70" borderId="0" xfId="8" applyFont="1" applyFill="1" applyAlignment="1" applyProtection="1">
      <alignment horizontal="left"/>
    </xf>
    <xf numFmtId="166" fontId="107" fillId="70" borderId="0" xfId="6" applyNumberFormat="1" applyFont="1" applyFill="1" applyAlignment="1" applyProtection="1">
      <alignment horizontal="center"/>
    </xf>
    <xf numFmtId="166" fontId="107" fillId="70" borderId="0" xfId="6" applyNumberFormat="1" applyFont="1" applyFill="1" applyBorder="1" applyProtection="1"/>
    <xf numFmtId="3" fontId="118" fillId="70" borderId="54" xfId="11" applyNumberFormat="1" applyFont="1" applyFill="1" applyBorder="1" applyAlignment="1" applyProtection="1">
      <alignment horizontal="center"/>
      <protection locked="0"/>
    </xf>
    <xf numFmtId="172" fontId="83" fillId="70" borderId="0" xfId="0" applyNumberFormat="1" applyFont="1" applyFill="1" applyAlignment="1" applyProtection="1">
      <alignment horizontal="right"/>
    </xf>
    <xf numFmtId="174" fontId="83" fillId="70" borderId="0" xfId="0" applyNumberFormat="1" applyFont="1" applyFill="1"/>
    <xf numFmtId="174" fontId="83" fillId="70" borderId="0" xfId="0" applyNumberFormat="1" applyFont="1" applyFill="1" applyProtection="1"/>
    <xf numFmtId="175" fontId="83" fillId="70" borderId="0" xfId="0" applyNumberFormat="1" applyFont="1" applyFill="1" applyProtection="1"/>
    <xf numFmtId="174" fontId="107" fillId="70" borderId="0" xfId="8" applyNumberFormat="1" applyFont="1" applyFill="1" applyBorder="1" applyProtection="1"/>
    <xf numFmtId="172" fontId="107" fillId="70" borderId="0" xfId="6" applyNumberFormat="1" applyFont="1" applyFill="1" applyAlignment="1" applyProtection="1">
      <alignment horizontal="right"/>
    </xf>
    <xf numFmtId="172" fontId="107" fillId="70" borderId="0" xfId="6" applyNumberFormat="1" applyFont="1" applyFill="1" applyBorder="1" applyAlignment="1" applyProtection="1">
      <alignment horizontal="right"/>
    </xf>
    <xf numFmtId="172" fontId="118" fillId="70" borderId="3" xfId="11" applyNumberFormat="1" applyFont="1" applyFill="1" applyAlignment="1" applyProtection="1">
      <alignment horizontal="center"/>
      <protection locked="0"/>
    </xf>
    <xf numFmtId="172" fontId="83" fillId="70" borderId="0" xfId="0" applyNumberFormat="1" applyFont="1" applyFill="1"/>
    <xf numFmtId="172" fontId="83" fillId="70" borderId="0" xfId="0" applyNumberFormat="1" applyFont="1" applyFill="1" applyProtection="1"/>
    <xf numFmtId="172" fontId="107" fillId="70" borderId="0" xfId="8" applyNumberFormat="1" applyFont="1" applyFill="1" applyBorder="1" applyProtection="1"/>
    <xf numFmtId="0" fontId="104" fillId="70" borderId="0" xfId="8" applyFont="1" applyFill="1" applyAlignment="1" applyProtection="1">
      <alignment horizontal="left"/>
    </xf>
    <xf numFmtId="172" fontId="104" fillId="70" borderId="0" xfId="6" applyNumberFormat="1" applyFont="1" applyFill="1" applyAlignment="1" applyProtection="1">
      <alignment horizontal="right"/>
    </xf>
    <xf numFmtId="172" fontId="104" fillId="70" borderId="0" xfId="6" applyNumberFormat="1" applyFont="1" applyFill="1" applyBorder="1" applyAlignment="1" applyProtection="1">
      <alignment horizontal="right"/>
    </xf>
    <xf numFmtId="172" fontId="134" fillId="70" borderId="3" xfId="11" applyNumberFormat="1" applyFont="1" applyFill="1" applyAlignment="1" applyProtection="1">
      <alignment horizontal="center"/>
      <protection locked="0"/>
    </xf>
    <xf numFmtId="175" fontId="135" fillId="70" borderId="0" xfId="0" applyNumberFormat="1" applyFont="1" applyFill="1" applyProtection="1"/>
    <xf numFmtId="172" fontId="104" fillId="70" borderId="0" xfId="8" applyNumberFormat="1" applyFont="1" applyFill="1" applyBorder="1" applyProtection="1"/>
    <xf numFmtId="172" fontId="118" fillId="70" borderId="39" xfId="11" applyNumberFormat="1" applyFont="1" applyFill="1" applyBorder="1" applyAlignment="1" applyProtection="1">
      <alignment horizontal="center"/>
      <protection locked="0"/>
    </xf>
    <xf numFmtId="175" fontId="83" fillId="70" borderId="1" xfId="0" applyNumberFormat="1" applyFont="1" applyFill="1" applyBorder="1" applyProtection="1"/>
    <xf numFmtId="0" fontId="83" fillId="70" borderId="0" xfId="0" applyFont="1" applyFill="1" applyProtection="1"/>
    <xf numFmtId="0" fontId="83" fillId="70" borderId="0" xfId="0" applyFont="1" applyFill="1"/>
    <xf numFmtId="172" fontId="83" fillId="70" borderId="0" xfId="0" applyNumberFormat="1" applyFont="1" applyFill="1" applyAlignment="1">
      <alignment horizontal="right"/>
    </xf>
    <xf numFmtId="174" fontId="0" fillId="63" borderId="0" xfId="0" applyNumberFormat="1" applyFill="1" applyProtection="1"/>
    <xf numFmtId="172" fontId="0" fillId="63" borderId="0" xfId="0" applyNumberFormat="1" applyFill="1" applyProtection="1"/>
    <xf numFmtId="174" fontId="83" fillId="63" borderId="0" xfId="0" applyNumberFormat="1" applyFont="1" applyFill="1" applyAlignment="1">
      <alignment horizontal="right"/>
    </xf>
    <xf numFmtId="0" fontId="0" fillId="63" borderId="0" xfId="0" applyFill="1" applyAlignment="1" applyProtection="1">
      <alignment horizontal="right"/>
    </xf>
    <xf numFmtId="0" fontId="135" fillId="70" borderId="0" xfId="0" applyFont="1" applyFill="1" applyProtection="1"/>
    <xf numFmtId="0" fontId="0" fillId="70" borderId="0" xfId="0" applyFill="1" applyProtection="1"/>
    <xf numFmtId="0" fontId="11" fillId="0" borderId="1" xfId="0" applyFont="1" applyBorder="1" applyAlignment="1">
      <alignment horizontal="right"/>
    </xf>
    <xf numFmtId="0" fontId="0" fillId="2" borderId="0" xfId="0" applyFill="1"/>
    <xf numFmtId="0" fontId="83" fillId="63" borderId="47" xfId="0" applyFont="1" applyFill="1" applyBorder="1" applyProtection="1"/>
    <xf numFmtId="172" fontId="0" fillId="63" borderId="47" xfId="0" applyNumberFormat="1" applyFill="1" applyBorder="1" applyProtection="1"/>
    <xf numFmtId="174" fontId="83" fillId="0" borderId="47" xfId="0" applyNumberFormat="1" applyFont="1" applyFill="1" applyBorder="1" applyAlignment="1">
      <alignment horizontal="right"/>
    </xf>
    <xf numFmtId="0" fontId="135" fillId="0" borderId="47" xfId="0" applyFont="1" applyFill="1" applyBorder="1"/>
    <xf numFmtId="0" fontId="83" fillId="66" borderId="0" xfId="0" applyFont="1" applyFill="1" applyBorder="1" applyProtection="1"/>
    <xf numFmtId="0" fontId="0" fillId="66" borderId="0" xfId="0" applyFill="1"/>
    <xf numFmtId="0" fontId="11" fillId="0" borderId="0" xfId="0" applyFont="1" applyBorder="1" applyAlignment="1">
      <alignment horizontal="right"/>
    </xf>
    <xf numFmtId="172" fontId="107" fillId="2" borderId="55" xfId="8" applyNumberFormat="1" applyFont="1" applyFill="1" applyBorder="1" applyAlignment="1" applyProtection="1">
      <alignment horizontal="right"/>
    </xf>
    <xf numFmtId="172" fontId="107" fillId="0" borderId="55" xfId="8" applyNumberFormat="1" applyFont="1" applyFill="1" applyBorder="1" applyAlignment="1" applyProtection="1">
      <alignment horizontal="right"/>
    </xf>
    <xf numFmtId="0" fontId="0" fillId="0" borderId="66" xfId="0" applyBorder="1"/>
    <xf numFmtId="172" fontId="0" fillId="0" borderId="57" xfId="0" applyNumberFormat="1" applyBorder="1"/>
    <xf numFmtId="0" fontId="148" fillId="68" borderId="0" xfId="0" applyFont="1" applyFill="1"/>
    <xf numFmtId="172" fontId="148" fillId="2" borderId="104" xfId="0" applyNumberFormat="1" applyFont="1" applyFill="1" applyBorder="1"/>
    <xf numFmtId="172" fontId="148" fillId="0" borderId="0" xfId="0" applyNumberFormat="1" applyFont="1"/>
    <xf numFmtId="172" fontId="148" fillId="2" borderId="55" xfId="0" applyNumberFormat="1" applyFont="1" applyFill="1" applyBorder="1"/>
    <xf numFmtId="172" fontId="148" fillId="2" borderId="103" xfId="0" applyNumberFormat="1" applyFont="1" applyFill="1" applyBorder="1"/>
    <xf numFmtId="172" fontId="148" fillId="68" borderId="57" xfId="0" applyNumberFormat="1" applyFont="1" applyFill="1" applyBorder="1"/>
    <xf numFmtId="172" fontId="148" fillId="0" borderId="57" xfId="0" applyNumberFormat="1" applyFont="1" applyBorder="1"/>
    <xf numFmtId="172" fontId="107" fillId="2" borderId="103" xfId="8" applyNumberFormat="1" applyFont="1" applyFill="1" applyBorder="1" applyAlignment="1" applyProtection="1">
      <alignment horizontal="right"/>
    </xf>
    <xf numFmtId="172" fontId="107" fillId="0" borderId="103" xfId="8" applyNumberFormat="1" applyFont="1" applyFill="1" applyBorder="1" applyAlignment="1" applyProtection="1">
      <alignment horizontal="right"/>
    </xf>
    <xf numFmtId="0" fontId="11" fillId="0" borderId="57" xfId="0" applyFont="1" applyBorder="1"/>
    <xf numFmtId="0" fontId="11" fillId="0" borderId="66" xfId="0" applyFont="1" applyBorder="1" applyAlignment="1">
      <alignment horizontal="right"/>
    </xf>
    <xf numFmtId="172" fontId="148" fillId="68" borderId="104" xfId="0" applyNumberFormat="1" applyFont="1" applyFill="1" applyBorder="1"/>
    <xf numFmtId="172" fontId="148" fillId="68" borderId="55" xfId="0" applyNumberFormat="1" applyFont="1" applyFill="1" applyBorder="1"/>
    <xf numFmtId="172" fontId="148" fillId="68" borderId="103" xfId="0" applyNumberFormat="1" applyFont="1" applyFill="1" applyBorder="1"/>
    <xf numFmtId="172" fontId="107" fillId="0" borderId="57" xfId="8" applyNumberFormat="1" applyFont="1" applyFill="1" applyBorder="1" applyAlignment="1" applyProtection="1">
      <alignment horizontal="right"/>
    </xf>
    <xf numFmtId="0" fontId="148" fillId="0" borderId="104" xfId="0" applyFont="1" applyFill="1" applyBorder="1" applyAlignment="1">
      <alignment horizontal="right"/>
    </xf>
    <xf numFmtId="43" fontId="107" fillId="0" borderId="1" xfId="4" applyFont="1" applyBorder="1" applyProtection="1"/>
    <xf numFmtId="0" fontId="83" fillId="63" borderId="103" xfId="0" applyFont="1" applyFill="1" applyBorder="1" applyProtection="1"/>
    <xf numFmtId="0" fontId="135" fillId="0" borderId="1" xfId="0" applyFont="1" applyFill="1" applyBorder="1" applyProtection="1"/>
    <xf numFmtId="0" fontId="0" fillId="0" borderId="1" xfId="0" applyFill="1" applyBorder="1"/>
    <xf numFmtId="0" fontId="83" fillId="63" borderId="67" xfId="0" applyFont="1" applyFill="1" applyBorder="1" applyProtection="1"/>
    <xf numFmtId="0" fontId="0" fillId="0" borderId="57" xfId="0" applyBorder="1"/>
    <xf numFmtId="0" fontId="11" fillId="66" borderId="1" xfId="0" applyFont="1" applyFill="1" applyBorder="1"/>
    <xf numFmtId="0" fontId="0" fillId="66" borderId="1" xfId="0" applyFill="1" applyBorder="1"/>
    <xf numFmtId="43" fontId="107" fillId="66" borderId="1" xfId="4" applyFont="1" applyFill="1" applyBorder="1" applyProtection="1"/>
    <xf numFmtId="0" fontId="0" fillId="0" borderId="0" xfId="0" applyBorder="1"/>
    <xf numFmtId="172" fontId="0" fillId="0" borderId="0" xfId="0" applyNumberFormat="1" applyBorder="1"/>
    <xf numFmtId="0" fontId="0" fillId="64" borderId="0" xfId="0" applyFill="1"/>
    <xf numFmtId="0" fontId="11" fillId="62" borderId="1" xfId="0" applyFont="1" applyFill="1" applyBorder="1"/>
    <xf numFmtId="172" fontId="0" fillId="62" borderId="1" xfId="0" applyNumberFormat="1" applyFill="1" applyBorder="1"/>
    <xf numFmtId="0" fontId="0" fillId="62" borderId="1" xfId="0" applyFill="1" applyBorder="1"/>
    <xf numFmtId="43" fontId="107" fillId="62" borderId="1" xfId="4" applyFont="1" applyFill="1" applyBorder="1" applyProtection="1"/>
    <xf numFmtId="0" fontId="11" fillId="73" borderId="1" xfId="0" applyFont="1" applyFill="1" applyBorder="1"/>
    <xf numFmtId="0" fontId="0" fillId="73" borderId="1" xfId="0" applyFill="1" applyBorder="1"/>
    <xf numFmtId="172" fontId="148" fillId="0" borderId="104" xfId="0" applyNumberFormat="1" applyFont="1" applyFill="1" applyBorder="1"/>
    <xf numFmtId="172" fontId="148" fillId="0" borderId="55" xfId="0" applyNumberFormat="1" applyFont="1" applyFill="1" applyBorder="1"/>
    <xf numFmtId="172" fontId="148" fillId="0" borderId="103" xfId="0" applyNumberFormat="1" applyFont="1" applyFill="1" applyBorder="1"/>
    <xf numFmtId="172" fontId="148" fillId="0" borderId="104" xfId="0" applyNumberFormat="1" applyFont="1" applyFill="1" applyBorder="1" applyAlignment="1">
      <alignment horizontal="right"/>
    </xf>
    <xf numFmtId="174" fontId="148" fillId="0" borderId="104" xfId="0" applyNumberFormat="1" applyFont="1" applyFill="1" applyBorder="1" applyAlignment="1">
      <alignment horizontal="right"/>
    </xf>
    <xf numFmtId="174" fontId="107" fillId="0" borderId="57" xfId="8" applyNumberFormat="1" applyFont="1" applyFill="1" applyBorder="1" applyAlignment="1" applyProtection="1">
      <alignment horizontal="right"/>
    </xf>
    <xf numFmtId="174" fontId="107" fillId="0" borderId="55" xfId="8" applyNumberFormat="1" applyFont="1" applyFill="1" applyBorder="1" applyAlignment="1" applyProtection="1">
      <alignment horizontal="right"/>
    </xf>
    <xf numFmtId="174" fontId="104" fillId="0" borderId="57" xfId="8" applyNumberFormat="1" applyFont="1" applyFill="1" applyBorder="1" applyAlignment="1" applyProtection="1">
      <alignment horizontal="right"/>
    </xf>
    <xf numFmtId="174" fontId="148" fillId="0" borderId="0" xfId="0" applyNumberFormat="1" applyFont="1"/>
    <xf numFmtId="174" fontId="148" fillId="0" borderId="57" xfId="0" applyNumberFormat="1" applyFont="1" applyBorder="1"/>
    <xf numFmtId="174" fontId="148" fillId="68" borderId="57" xfId="0" applyNumberFormat="1" applyFont="1" applyFill="1" applyBorder="1"/>
    <xf numFmtId="174" fontId="154" fillId="0" borderId="57" xfId="0" applyNumberFormat="1" applyFont="1" applyBorder="1"/>
    <xf numFmtId="175" fontId="83" fillId="63" borderId="47" xfId="0" applyNumberFormat="1" applyFont="1" applyFill="1" applyBorder="1" applyProtection="1"/>
    <xf numFmtId="175" fontId="11" fillId="64" borderId="0" xfId="0" applyNumberFormat="1" applyFont="1" applyFill="1" applyBorder="1" applyAlignment="1">
      <alignment horizontal="right"/>
    </xf>
    <xf numFmtId="175" fontId="11" fillId="0" borderId="0" xfId="0" applyNumberFormat="1" applyFont="1" applyBorder="1" applyAlignment="1">
      <alignment horizontal="right"/>
    </xf>
    <xf numFmtId="175" fontId="0" fillId="0" borderId="66" xfId="0" applyNumberFormat="1" applyBorder="1"/>
    <xf numFmtId="0" fontId="155" fillId="2" borderId="0" xfId="0" applyFont="1" applyFill="1"/>
    <xf numFmtId="0" fontId="155" fillId="0" borderId="0" xfId="0" applyFont="1"/>
    <xf numFmtId="172" fontId="156" fillId="2" borderId="55" xfId="8" applyNumberFormat="1" applyFont="1" applyFill="1" applyBorder="1" applyAlignment="1" applyProtection="1">
      <alignment horizontal="right"/>
    </xf>
    <xf numFmtId="172" fontId="156" fillId="2" borderId="103" xfId="8" applyNumberFormat="1" applyFont="1" applyFill="1" applyBorder="1" applyAlignment="1" applyProtection="1">
      <alignment horizontal="right"/>
    </xf>
    <xf numFmtId="0" fontId="11" fillId="60" borderId="0" xfId="0" applyFont="1" applyFill="1"/>
    <xf numFmtId="172" fontId="148" fillId="0" borderId="57" xfId="0" applyNumberFormat="1" applyFont="1" applyFill="1" applyBorder="1"/>
    <xf numFmtId="175" fontId="11" fillId="0" borderId="66" xfId="0" applyNumberFormat="1" applyFont="1" applyBorder="1"/>
    <xf numFmtId="0" fontId="11" fillId="68" borderId="1" xfId="0" applyFont="1" applyFill="1" applyBorder="1"/>
    <xf numFmtId="0" fontId="0" fillId="68" borderId="1" xfId="0" applyFill="1" applyBorder="1"/>
    <xf numFmtId="174" fontId="148" fillId="0" borderId="104" xfId="0" applyNumberFormat="1" applyFont="1" applyFill="1" applyBorder="1"/>
    <xf numFmtId="174" fontId="148" fillId="68" borderId="104" xfId="0" applyNumberFormat="1" applyFont="1" applyFill="1" applyBorder="1"/>
    <xf numFmtId="0" fontId="135" fillId="0" borderId="0" xfId="0" applyFont="1" applyFill="1" applyBorder="1"/>
    <xf numFmtId="174" fontId="83" fillId="0" borderId="0" xfId="0" applyNumberFormat="1" applyFont="1" applyFill="1" applyBorder="1" applyAlignment="1">
      <alignment horizontal="right"/>
    </xf>
    <xf numFmtId="0" fontId="121" fillId="0" borderId="0" xfId="0" applyFont="1" applyAlignment="1">
      <alignment horizontal="left"/>
    </xf>
    <xf numFmtId="0" fontId="16" fillId="0" borderId="0" xfId="0" applyFont="1" applyAlignment="1">
      <alignment horizontal="center"/>
    </xf>
    <xf numFmtId="0" fontId="121" fillId="0" borderId="0" xfId="0" applyFont="1" applyAlignment="1">
      <alignment horizontal="center"/>
    </xf>
    <xf numFmtId="0" fontId="121" fillId="0" borderId="0" xfId="0" applyFont="1"/>
    <xf numFmtId="0" fontId="16" fillId="0" borderId="1" xfId="0" applyFont="1" applyBorder="1" applyAlignment="1">
      <alignment horizontal="center"/>
    </xf>
    <xf numFmtId="0" fontId="4" fillId="0" borderId="0" xfId="0" applyFont="1" applyAlignment="1">
      <alignment horizontal="center"/>
    </xf>
    <xf numFmtId="0" fontId="158" fillId="2" borderId="40" xfId="0" applyFont="1" applyFill="1" applyBorder="1" applyAlignment="1">
      <alignment horizontal="center"/>
    </xf>
    <xf numFmtId="0" fontId="159" fillId="2" borderId="40" xfId="0" applyFont="1" applyFill="1" applyBorder="1" applyAlignment="1">
      <alignment horizontal="center" vertical="center"/>
    </xf>
    <xf numFmtId="0" fontId="120" fillId="0" borderId="0" xfId="0" applyFont="1" applyAlignment="1">
      <alignment horizontal="center" vertical="center"/>
    </xf>
    <xf numFmtId="0" fontId="121" fillId="0" borderId="1" xfId="0" applyFont="1" applyBorder="1" applyAlignment="1">
      <alignment horizontal="center"/>
    </xf>
    <xf numFmtId="0" fontId="121" fillId="0" borderId="1" xfId="0" applyFont="1" applyBorder="1"/>
    <xf numFmtId="0" fontId="120" fillId="0" borderId="1" xfId="0" applyFont="1" applyBorder="1" applyAlignment="1">
      <alignment horizontal="center" vertical="center"/>
    </xf>
    <xf numFmtId="172" fontId="16" fillId="63" borderId="40" xfId="0" applyNumberFormat="1" applyFont="1" applyFill="1" applyBorder="1" applyAlignment="1">
      <alignment horizontal="center"/>
    </xf>
    <xf numFmtId="175" fontId="121"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applyAlignment="1"/>
    <xf numFmtId="0" fontId="16" fillId="2" borderId="55" xfId="0" applyFont="1" applyFill="1" applyBorder="1" applyAlignment="1">
      <alignment horizontal="center"/>
    </xf>
    <xf numFmtId="0" fontId="14" fillId="0" borderId="0" xfId="0" applyFont="1" applyAlignment="1">
      <alignment horizontal="center"/>
    </xf>
    <xf numFmtId="172" fontId="160" fillId="0" borderId="0" xfId="0" applyNumberFormat="1" applyFont="1" applyFill="1" applyAlignment="1" applyProtection="1">
      <alignment horizontal="center"/>
    </xf>
    <xf numFmtId="174" fontId="11" fillId="0" borderId="135" xfId="0" applyNumberFormat="1" applyFont="1" applyBorder="1" applyProtection="1"/>
    <xf numFmtId="0" fontId="0" fillId="2" borderId="0" xfId="0" applyFill="1" applyAlignment="1">
      <alignment horizontal="center"/>
    </xf>
    <xf numFmtId="0" fontId="0" fillId="2" borderId="57" xfId="0" applyFill="1" applyBorder="1" applyAlignment="1">
      <alignment horizontal="center"/>
    </xf>
    <xf numFmtId="172" fontId="156" fillId="0" borderId="55" xfId="8" applyNumberFormat="1" applyFont="1" applyFill="1" applyBorder="1" applyAlignment="1" applyProtection="1">
      <alignment horizontal="right"/>
    </xf>
    <xf numFmtId="172" fontId="156" fillId="0" borderId="103" xfId="8" applyNumberFormat="1" applyFont="1" applyFill="1" applyBorder="1" applyAlignment="1" applyProtection="1">
      <alignment horizontal="right"/>
    </xf>
    <xf numFmtId="172" fontId="156" fillId="0" borderId="118" xfId="8" applyNumberFormat="1" applyFont="1" applyFill="1" applyBorder="1" applyAlignment="1" applyProtection="1">
      <alignment horizontal="right"/>
    </xf>
    <xf numFmtId="172" fontId="156" fillId="0" borderId="104" xfId="8" applyNumberFormat="1" applyFont="1" applyFill="1" applyBorder="1" applyAlignment="1" applyProtection="1">
      <alignment horizontal="right"/>
    </xf>
    <xf numFmtId="172" fontId="156" fillId="0" borderId="113" xfId="8" applyNumberFormat="1" applyFont="1" applyFill="1" applyBorder="1" applyAlignment="1" applyProtection="1">
      <alignment horizontal="right"/>
    </xf>
    <xf numFmtId="172" fontId="156" fillId="0" borderId="136" xfId="8" applyNumberFormat="1" applyFont="1" applyFill="1" applyBorder="1" applyAlignment="1" applyProtection="1">
      <alignment horizontal="right"/>
    </xf>
    <xf numFmtId="172" fontId="156" fillId="0" borderId="137" xfId="8" applyNumberFormat="1" applyFont="1" applyFill="1" applyBorder="1" applyAlignment="1" applyProtection="1">
      <alignment horizontal="right"/>
    </xf>
    <xf numFmtId="172" fontId="156" fillId="0" borderId="138" xfId="8" applyNumberFormat="1" applyFont="1" applyFill="1" applyBorder="1" applyAlignment="1" applyProtection="1">
      <alignment horizontal="right"/>
    </xf>
    <xf numFmtId="172" fontId="156" fillId="0" borderId="139" xfId="8" applyNumberFormat="1" applyFont="1" applyFill="1" applyBorder="1" applyAlignment="1" applyProtection="1">
      <alignment horizontal="right"/>
    </xf>
    <xf numFmtId="172" fontId="107" fillId="0" borderId="75" xfId="8" applyNumberFormat="1" applyFont="1" applyFill="1" applyBorder="1" applyAlignment="1" applyProtection="1">
      <alignment horizontal="right"/>
    </xf>
    <xf numFmtId="172" fontId="107" fillId="0" borderId="131" xfId="8" applyNumberFormat="1" applyFont="1" applyFill="1" applyBorder="1" applyAlignment="1" applyProtection="1">
      <alignment horizontal="right"/>
    </xf>
    <xf numFmtId="172" fontId="156" fillId="0" borderId="141" xfId="8" applyNumberFormat="1" applyFont="1" applyFill="1" applyBorder="1" applyAlignment="1" applyProtection="1">
      <alignment horizontal="right"/>
    </xf>
    <xf numFmtId="172" fontId="107" fillId="0" borderId="140" xfId="8" applyNumberFormat="1" applyFont="1" applyFill="1" applyBorder="1" applyAlignment="1" applyProtection="1">
      <alignment horizontal="right"/>
    </xf>
    <xf numFmtId="0" fontId="11" fillId="0" borderId="0" xfId="0" applyFont="1" applyAlignment="1">
      <alignment horizontal="center"/>
    </xf>
    <xf numFmtId="0" fontId="161" fillId="0" borderId="0" xfId="0" applyFont="1" applyAlignment="1">
      <alignment horizontal="center"/>
    </xf>
    <xf numFmtId="0" fontId="0" fillId="2" borderId="47" xfId="0" applyFill="1" applyBorder="1" applyAlignment="1">
      <alignment horizontal="center"/>
    </xf>
    <xf numFmtId="172" fontId="0" fillId="0" borderId="47"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applyAlignment="1"/>
    <xf numFmtId="0" fontId="162" fillId="0" borderId="0" xfId="0" applyFont="1"/>
    <xf numFmtId="175" fontId="162" fillId="0" borderId="0" xfId="0" applyNumberFormat="1" applyFont="1" applyAlignment="1" applyProtection="1">
      <alignment horizontal="center"/>
    </xf>
    <xf numFmtId="175" fontId="121" fillId="0" borderId="57" xfId="0" applyNumberFormat="1" applyFont="1" applyBorder="1" applyAlignment="1">
      <alignment horizontal="center"/>
    </xf>
    <xf numFmtId="0" fontId="163" fillId="62" borderId="0" xfId="0" applyFont="1" applyFill="1" applyAlignment="1">
      <alignment horizontal="center"/>
    </xf>
    <xf numFmtId="0" fontId="163" fillId="61" borderId="0" xfId="0" applyFont="1" applyFill="1" applyAlignment="1">
      <alignment horizontal="center"/>
    </xf>
    <xf numFmtId="174" fontId="91" fillId="70" borderId="0" xfId="0" applyNumberFormat="1" applyFont="1" applyFill="1" applyBorder="1"/>
    <xf numFmtId="174" fontId="91" fillId="70" borderId="0" xfId="0" applyNumberFormat="1" applyFont="1" applyFill="1" applyBorder="1" applyProtection="1"/>
    <xf numFmtId="182" fontId="91" fillId="70" borderId="55" xfId="0" applyNumberFormat="1" applyFont="1" applyFill="1" applyBorder="1" applyAlignment="1">
      <alignment horizontal="center" vertical="top"/>
    </xf>
    <xf numFmtId="174" fontId="91" fillId="70" borderId="55" xfId="0" applyNumberFormat="1" applyFont="1" applyFill="1" applyBorder="1" applyAlignment="1">
      <alignment horizontal="right" vertical="top"/>
    </xf>
    <xf numFmtId="174" fontId="91" fillId="70" borderId="55" xfId="0" quotePrefix="1" applyNumberFormat="1" applyFont="1" applyFill="1" applyBorder="1" applyAlignment="1">
      <alignment horizontal="right" vertical="top"/>
    </xf>
    <xf numFmtId="172" fontId="91" fillId="70" borderId="0" xfId="0" applyNumberFormat="1" applyFont="1" applyFill="1" applyBorder="1"/>
    <xf numFmtId="190" fontId="91" fillId="70" borderId="0" xfId="0" applyNumberFormat="1" applyFont="1" applyFill="1" applyBorder="1" applyAlignment="1">
      <alignment horizontal="left"/>
    </xf>
    <xf numFmtId="172" fontId="91" fillId="70" borderId="55" xfId="0" applyNumberFormat="1" applyFont="1" applyFill="1" applyBorder="1" applyAlignment="1">
      <alignment horizontal="center" vertical="top"/>
    </xf>
    <xf numFmtId="172" fontId="91" fillId="70" borderId="55" xfId="0" quotePrefix="1" applyNumberFormat="1" applyFont="1" applyFill="1" applyBorder="1" applyAlignment="1">
      <alignment horizontal="right" vertical="top"/>
    </xf>
    <xf numFmtId="172" fontId="91" fillId="70" borderId="55" xfId="0" applyNumberFormat="1" applyFont="1" applyFill="1" applyBorder="1" applyAlignment="1">
      <alignment horizontal="right" vertical="top"/>
    </xf>
    <xf numFmtId="174" fontId="0" fillId="68" borderId="0" xfId="0" applyNumberFormat="1" applyFill="1" applyProtection="1"/>
    <xf numFmtId="172" fontId="0" fillId="68" borderId="47" xfId="0" applyNumberFormat="1" applyFill="1" applyBorder="1" applyProtection="1"/>
    <xf numFmtId="0" fontId="164" fillId="0" borderId="0" xfId="0" applyFont="1" applyProtection="1"/>
    <xf numFmtId="172" fontId="165" fillId="0" borderId="104" xfId="8" applyNumberFormat="1" applyFont="1" applyFill="1" applyBorder="1" applyAlignment="1" applyProtection="1">
      <alignment horizontal="right"/>
    </xf>
    <xf numFmtId="172" fontId="165" fillId="0" borderId="136" xfId="8" applyNumberFormat="1" applyFont="1" applyFill="1" applyBorder="1" applyAlignment="1" applyProtection="1">
      <alignment horizontal="right"/>
    </xf>
    <xf numFmtId="172" fontId="165" fillId="0" borderId="55" xfId="8" applyNumberFormat="1" applyFont="1" applyFill="1" applyBorder="1" applyAlignment="1" applyProtection="1">
      <alignment horizontal="right"/>
    </xf>
    <xf numFmtId="172" fontId="165" fillId="0" borderId="137" xfId="8" applyNumberFormat="1" applyFont="1" applyFill="1" applyBorder="1" applyAlignment="1" applyProtection="1">
      <alignment horizontal="right"/>
    </xf>
    <xf numFmtId="172" fontId="165" fillId="0" borderId="103" xfId="8" applyNumberFormat="1" applyFont="1" applyFill="1" applyBorder="1" applyAlignment="1" applyProtection="1">
      <alignment horizontal="right"/>
    </xf>
    <xf numFmtId="172" fontId="165" fillId="0" borderId="138" xfId="8" applyNumberFormat="1" applyFont="1" applyFill="1" applyBorder="1" applyAlignment="1" applyProtection="1">
      <alignment horizontal="right"/>
    </xf>
    <xf numFmtId="172" fontId="165" fillId="0" borderId="113" xfId="8" applyNumberFormat="1" applyFont="1" applyFill="1" applyBorder="1" applyAlignment="1" applyProtection="1">
      <alignment horizontal="right"/>
    </xf>
    <xf numFmtId="172" fontId="165" fillId="0" borderId="139" xfId="8" applyNumberFormat="1" applyFont="1" applyFill="1" applyBorder="1" applyAlignment="1" applyProtection="1">
      <alignment horizontal="right"/>
    </xf>
    <xf numFmtId="172" fontId="107" fillId="0" borderId="133" xfId="8" applyNumberFormat="1" applyFont="1" applyFill="1" applyBorder="1" applyAlignment="1" applyProtection="1">
      <alignment horizontal="right"/>
    </xf>
    <xf numFmtId="0" fontId="0" fillId="0" borderId="0" xfId="0" applyFont="1" applyProtection="1"/>
    <xf numFmtId="175" fontId="148" fillId="0" borderId="0" xfId="0" applyNumberFormat="1" applyFont="1" applyAlignment="1" applyProtection="1">
      <alignment horizontal="center"/>
    </xf>
    <xf numFmtId="0" fontId="148" fillId="0" borderId="0" xfId="0" applyFont="1"/>
    <xf numFmtId="174" fontId="165" fillId="0" borderId="0" xfId="0" applyNumberFormat="1" applyFont="1" applyAlignment="1">
      <alignment horizontal="right"/>
    </xf>
    <xf numFmtId="175" fontId="165" fillId="0" borderId="0" xfId="0" applyNumberFormat="1" applyFont="1" applyAlignment="1">
      <alignment horizontal="right"/>
    </xf>
    <xf numFmtId="172" fontId="83" fillId="60" borderId="67" xfId="0" applyNumberFormat="1" applyFont="1" applyFill="1" applyBorder="1" applyProtection="1"/>
    <xf numFmtId="172" fontId="83" fillId="60" borderId="103" xfId="0" applyNumberFormat="1" applyFont="1" applyFill="1" applyBorder="1" applyProtection="1"/>
    <xf numFmtId="0" fontId="16" fillId="2" borderId="0" xfId="0" applyFont="1" applyFill="1" applyBorder="1" applyAlignment="1">
      <alignment horizontal="center"/>
    </xf>
    <xf numFmtId="0" fontId="0" fillId="60" borderId="0" xfId="0" applyFill="1" applyProtection="1"/>
    <xf numFmtId="175" fontId="0" fillId="2" borderId="0" xfId="0" applyNumberFormat="1" applyFill="1" applyAlignment="1" applyProtection="1">
      <alignment horizontal="right"/>
    </xf>
    <xf numFmtId="0" fontId="14" fillId="0" borderId="0" xfId="0" applyFont="1" applyAlignment="1" applyProtection="1">
      <alignment horizontal="center"/>
    </xf>
    <xf numFmtId="9" fontId="0" fillId="0" borderId="0" xfId="0" applyNumberFormat="1" applyProtection="1"/>
    <xf numFmtId="9" fontId="0" fillId="2" borderId="0" xfId="0" applyNumberFormat="1" applyFill="1" applyProtection="1"/>
    <xf numFmtId="0" fontId="0" fillId="0" borderId="0" xfId="0" applyAlignment="1" applyProtection="1">
      <alignment horizontal="left"/>
    </xf>
    <xf numFmtId="0" fontId="121" fillId="0" borderId="0" xfId="0" applyFont="1" applyAlignment="1" applyProtection="1">
      <alignment horizontal="left"/>
    </xf>
    <xf numFmtId="9" fontId="0" fillId="0" borderId="0" xfId="0" applyNumberFormat="1"/>
    <xf numFmtId="175" fontId="91" fillId="0" borderId="0" xfId="0" applyNumberFormat="1" applyFont="1"/>
    <xf numFmtId="172" fontId="101" fillId="2" borderId="55" xfId="9" applyNumberFormat="1" applyFont="1" applyFill="1" applyBorder="1" applyAlignment="1" applyProtection="1">
      <alignment vertical="top"/>
      <protection locked="0"/>
    </xf>
    <xf numFmtId="9" fontId="166" fillId="2" borderId="55" xfId="9" applyFont="1" applyFill="1" applyBorder="1" applyAlignment="1" applyProtection="1">
      <alignment horizontal="center" vertical="top"/>
      <protection locked="0"/>
    </xf>
    <xf numFmtId="172" fontId="166" fillId="2" borderId="55" xfId="9" applyNumberFormat="1" applyFont="1" applyFill="1" applyBorder="1" applyAlignment="1" applyProtection="1">
      <alignment horizontal="right" vertical="top"/>
      <protection locked="0"/>
    </xf>
    <xf numFmtId="172" fontId="166" fillId="2" borderId="55" xfId="9" applyNumberFormat="1" applyFont="1" applyFill="1" applyBorder="1" applyAlignment="1" applyProtection="1">
      <alignment horizontal="center" vertical="top"/>
      <protection locked="0"/>
    </xf>
    <xf numFmtId="172" fontId="166" fillId="2" borderId="103" xfId="9" applyNumberFormat="1" applyFont="1" applyFill="1" applyBorder="1" applyAlignment="1" applyProtection="1">
      <alignment horizontal="right" vertical="top"/>
      <protection locked="0"/>
    </xf>
    <xf numFmtId="0" fontId="0" fillId="64" borderId="47" xfId="0" applyFill="1" applyBorder="1"/>
    <xf numFmtId="196" fontId="91" fillId="0" borderId="0" xfId="0" applyNumberFormat="1" applyFont="1"/>
    <xf numFmtId="172" fontId="91" fillId="0" borderId="0" xfId="0" applyNumberFormat="1" applyFont="1"/>
    <xf numFmtId="174" fontId="91" fillId="60" borderId="0" xfId="0" applyNumberFormat="1" applyFont="1" applyFill="1"/>
    <xf numFmtId="0" fontId="0" fillId="64" borderId="57" xfId="0" applyFont="1" applyFill="1" applyBorder="1" applyProtection="1"/>
    <xf numFmtId="174" fontId="0" fillId="64" borderId="0" xfId="0" applyNumberFormat="1" applyFill="1"/>
    <xf numFmtId="172" fontId="0" fillId="64" borderId="47" xfId="0" applyNumberFormat="1" applyFill="1" applyBorder="1"/>
    <xf numFmtId="174" fontId="11" fillId="64" borderId="135" xfId="0" applyNumberFormat="1" applyFont="1" applyFill="1" applyBorder="1" applyProtection="1"/>
    <xf numFmtId="0" fontId="0" fillId="0" borderId="0" xfId="0" applyFill="1"/>
    <xf numFmtId="0" fontId="0" fillId="0" borderId="47" xfId="0" applyFill="1" applyBorder="1"/>
    <xf numFmtId="174" fontId="92" fillId="0" borderId="0" xfId="0" applyNumberFormat="1" applyFont="1" applyFill="1"/>
    <xf numFmtId="9" fontId="166" fillId="2" borderId="103" xfId="9" applyFont="1" applyFill="1" applyBorder="1" applyAlignment="1" applyProtection="1">
      <alignment horizontal="center" vertical="top"/>
      <protection locked="0"/>
    </xf>
    <xf numFmtId="9" fontId="92" fillId="0" borderId="0" xfId="9" applyFont="1" applyFill="1" applyBorder="1" applyAlignment="1" applyProtection="1">
      <alignment horizontal="center" vertical="top"/>
      <protection locked="0"/>
    </xf>
    <xf numFmtId="172" fontId="101" fillId="0" borderId="0" xfId="9" applyNumberFormat="1" applyFont="1" applyFill="1" applyBorder="1" applyAlignment="1" applyProtection="1">
      <alignment vertical="top"/>
      <protection locked="0"/>
    </xf>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5" fontId="91" fillId="0" borderId="0" xfId="0" applyNumberFormat="1" applyFont="1" applyBorder="1"/>
    <xf numFmtId="174" fontId="92" fillId="0" borderId="0" xfId="9" applyNumberFormat="1" applyFont="1" applyFill="1" applyBorder="1" applyAlignment="1" applyProtection="1">
      <alignment horizontal="center" vertical="top"/>
      <protection locked="0"/>
    </xf>
    <xf numFmtId="174" fontId="90" fillId="0" borderId="0" xfId="9" applyNumberFormat="1" applyFont="1" applyFill="1" applyBorder="1" applyAlignment="1" applyProtection="1">
      <alignment vertical="top"/>
      <protection locked="0"/>
    </xf>
    <xf numFmtId="172" fontId="90" fillId="0" borderId="0" xfId="9" applyNumberFormat="1" applyFont="1" applyFill="1" applyBorder="1" applyAlignment="1" applyProtection="1">
      <alignment vertical="top"/>
      <protection locked="0"/>
    </xf>
    <xf numFmtId="172" fontId="157" fillId="2" borderId="55" xfId="9" applyNumberFormat="1" applyFont="1" applyFill="1" applyBorder="1" applyAlignment="1" applyProtection="1">
      <alignment horizontal="center" vertical="top"/>
      <protection locked="0"/>
    </xf>
    <xf numFmtId="172" fontId="157" fillId="2" borderId="55" xfId="9" applyNumberFormat="1" applyFont="1" applyFill="1" applyBorder="1" applyAlignment="1" applyProtection="1">
      <alignment horizontal="right" vertical="top"/>
      <protection locked="0"/>
    </xf>
    <xf numFmtId="0" fontId="91" fillId="0" borderId="0" xfId="0" applyFont="1" applyAlignment="1" applyProtection="1">
      <alignment horizontal="center"/>
      <protection locked="0"/>
    </xf>
    <xf numFmtId="196" fontId="91" fillId="60" borderId="47" xfId="0" applyNumberFormat="1" applyFont="1" applyFill="1" applyBorder="1" applyProtection="1">
      <protection locked="0"/>
    </xf>
    <xf numFmtId="196" fontId="91" fillId="0" borderId="47" xfId="0" applyNumberFormat="1" applyFont="1" applyBorder="1" applyProtection="1">
      <protection locked="0"/>
    </xf>
    <xf numFmtId="196" fontId="157" fillId="2" borderId="47" xfId="0" applyNumberFormat="1" applyFont="1" applyFill="1" applyBorder="1" applyProtection="1">
      <protection locked="0"/>
    </xf>
    <xf numFmtId="196" fontId="91" fillId="2" borderId="47" xfId="0" applyNumberFormat="1" applyFont="1" applyFill="1" applyBorder="1" applyProtection="1">
      <protection locked="0"/>
    </xf>
    <xf numFmtId="196" fontId="157" fillId="2" borderId="50" xfId="0" applyNumberFormat="1" applyFont="1" applyFill="1" applyBorder="1" applyProtection="1">
      <protection locked="0"/>
    </xf>
    <xf numFmtId="196" fontId="91" fillId="2" borderId="50" xfId="0" applyNumberFormat="1" applyFont="1" applyFill="1" applyBorder="1" applyProtection="1">
      <protection locked="0"/>
    </xf>
    <xf numFmtId="0" fontId="91" fillId="0" borderId="52" xfId="0" applyFont="1" applyBorder="1" applyAlignment="1" applyProtection="1">
      <alignment horizontal="right"/>
      <protection locked="0"/>
    </xf>
    <xf numFmtId="0" fontId="91" fillId="0" borderId="52" xfId="0" applyFont="1" applyBorder="1" applyProtection="1">
      <protection locked="0"/>
    </xf>
    <xf numFmtId="0" fontId="91" fillId="0" borderId="52" xfId="0" applyFont="1" applyBorder="1" applyAlignment="1" applyProtection="1">
      <alignment horizontal="center"/>
      <protection locked="0"/>
    </xf>
    <xf numFmtId="0" fontId="91" fillId="2" borderId="104" xfId="0" applyFont="1" applyFill="1" applyBorder="1" applyProtection="1">
      <protection locked="0"/>
    </xf>
    <xf numFmtId="196" fontId="91" fillId="0" borderId="76" xfId="0" applyNumberFormat="1" applyFont="1" applyBorder="1" applyProtection="1">
      <protection locked="0"/>
    </xf>
    <xf numFmtId="196" fontId="91" fillId="60" borderId="0" xfId="0" applyNumberFormat="1" applyFont="1" applyFill="1"/>
    <xf numFmtId="174" fontId="90" fillId="0" borderId="57" xfId="9" applyNumberFormat="1" applyFont="1" applyFill="1" applyBorder="1" applyAlignment="1" applyProtection="1">
      <alignment vertical="top"/>
      <protection locked="0"/>
    </xf>
    <xf numFmtId="174" fontId="91" fillId="68" borderId="0" xfId="9" applyNumberFormat="1" applyFont="1" applyFill="1" applyBorder="1" applyAlignment="1" applyProtection="1">
      <alignment vertical="top"/>
    </xf>
    <xf numFmtId="0" fontId="91" fillId="70" borderId="0" xfId="0" applyFont="1" applyFill="1" applyBorder="1"/>
    <xf numFmtId="9" fontId="89" fillId="0" borderId="55" xfId="9" applyFont="1" applyFill="1" applyBorder="1" applyAlignment="1" applyProtection="1">
      <alignment horizontal="center" vertical="top"/>
      <protection locked="0"/>
    </xf>
    <xf numFmtId="175" fontId="90" fillId="0" borderId="55" xfId="9" applyNumberFormat="1" applyFont="1" applyFill="1" applyBorder="1" applyAlignment="1" applyProtection="1">
      <alignment horizontal="right" vertical="top"/>
      <protection locked="0"/>
    </xf>
    <xf numFmtId="190" fontId="91" fillId="0" borderId="0" xfId="9" applyNumberFormat="1" applyFont="1" applyFill="1" applyBorder="1" applyAlignment="1" applyProtection="1">
      <alignment horizontal="center" vertical="top"/>
    </xf>
    <xf numFmtId="172" fontId="91" fillId="0" borderId="57" xfId="9" applyNumberFormat="1" applyFont="1" applyFill="1" applyBorder="1" applyAlignment="1" applyProtection="1">
      <alignment horizontal="center" vertical="top"/>
    </xf>
    <xf numFmtId="174" fontId="91" fillId="0" borderId="57"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7" xfId="0" applyNumberFormat="1" applyFont="1" applyFill="1" applyBorder="1"/>
    <xf numFmtId="172" fontId="105" fillId="0" borderId="0" xfId="9" applyNumberFormat="1" applyFont="1" applyFill="1" applyBorder="1" applyAlignment="1" applyProtection="1">
      <alignment horizontal="center" vertical="top"/>
    </xf>
    <xf numFmtId="174" fontId="105" fillId="0" borderId="0" xfId="9" applyNumberFormat="1" applyFont="1" applyFill="1" applyBorder="1" applyAlignment="1" applyProtection="1">
      <alignment vertical="top"/>
    </xf>
    <xf numFmtId="0" fontId="107" fillId="63" borderId="64" xfId="0" applyFont="1" applyFill="1" applyBorder="1" applyAlignment="1" applyProtection="1">
      <alignment horizontal="center" vertical="top"/>
    </xf>
    <xf numFmtId="0" fontId="105" fillId="0" borderId="0" xfId="0" applyFont="1" applyBorder="1" applyAlignment="1">
      <alignment horizontal="left" indent="2"/>
    </xf>
    <xf numFmtId="0" fontId="106" fillId="0" borderId="0" xfId="0" applyFont="1" applyBorder="1" applyProtection="1"/>
    <xf numFmtId="5" fontId="106" fillId="0" borderId="0" xfId="0" applyNumberFormat="1" applyFont="1" applyBorder="1" applyAlignment="1" applyProtection="1">
      <alignment horizontal="center" vertical="top"/>
    </xf>
    <xf numFmtId="175" fontId="106" fillId="0" borderId="0" xfId="0" applyNumberFormat="1" applyFont="1" applyBorder="1" applyAlignment="1" applyProtection="1">
      <alignment horizontal="center" vertical="top"/>
    </xf>
    <xf numFmtId="174" fontId="106" fillId="0" borderId="0" xfId="0" applyNumberFormat="1" applyFont="1" applyBorder="1" applyAlignment="1" applyProtection="1">
      <alignment horizontal="right" vertical="top"/>
    </xf>
    <xf numFmtId="0" fontId="106" fillId="0" borderId="0" xfId="0" applyFont="1" applyBorder="1"/>
    <xf numFmtId="164" fontId="105" fillId="0" borderId="0" xfId="0" applyNumberFormat="1" applyFont="1" applyBorder="1" applyAlignment="1">
      <alignment horizontal="center" vertical="top"/>
    </xf>
    <xf numFmtId="182" fontId="106" fillId="0" borderId="0" xfId="0" applyNumberFormat="1" applyFont="1" applyAlignment="1">
      <alignment horizontal="center" vertical="top"/>
    </xf>
    <xf numFmtId="196" fontId="157" fillId="74" borderId="47" xfId="0" applyNumberFormat="1" applyFont="1" applyFill="1" applyBorder="1" applyProtection="1">
      <protection locked="0"/>
    </xf>
    <xf numFmtId="0" fontId="92" fillId="0" borderId="0" xfId="0" applyFont="1" applyProtection="1">
      <protection locked="0"/>
    </xf>
    <xf numFmtId="0" fontId="91" fillId="0" borderId="0" xfId="0" quotePrefix="1" applyFont="1" applyAlignment="1" applyProtection="1">
      <alignment horizontal="center"/>
      <protection locked="0"/>
    </xf>
    <xf numFmtId="0" fontId="92" fillId="3" borderId="0" xfId="0" applyFont="1" applyFill="1" applyBorder="1" applyAlignment="1" applyProtection="1">
      <alignment horizontal="right"/>
      <protection locked="0"/>
    </xf>
    <xf numFmtId="0" fontId="91" fillId="0" borderId="0" xfId="0" applyFont="1" applyFill="1" applyProtection="1">
      <protection locked="0"/>
    </xf>
    <xf numFmtId="0" fontId="91" fillId="60" borderId="47" xfId="0" applyFont="1" applyFill="1" applyBorder="1" applyProtection="1">
      <protection locked="0"/>
    </xf>
    <xf numFmtId="0" fontId="91" fillId="3" borderId="47" xfId="0" applyFont="1" applyFill="1" applyBorder="1" applyProtection="1">
      <protection locked="0"/>
    </xf>
    <xf numFmtId="0" fontId="91" fillId="3" borderId="76" xfId="0" applyFont="1" applyFill="1" applyBorder="1" applyProtection="1">
      <protection locked="0"/>
    </xf>
    <xf numFmtId="0" fontId="105" fillId="0" borderId="0" xfId="0" applyFont="1" applyProtection="1">
      <protection locked="0"/>
    </xf>
    <xf numFmtId="0" fontId="91" fillId="0" borderId="57" xfId="0" applyFont="1" applyBorder="1" applyProtection="1">
      <protection locked="0"/>
    </xf>
    <xf numFmtId="172" fontId="157" fillId="0" borderId="57" xfId="9" applyNumberFormat="1" applyFont="1" applyFill="1" applyBorder="1" applyAlignment="1" applyProtection="1">
      <alignment horizontal="center" vertical="top"/>
      <protection locked="0"/>
    </xf>
    <xf numFmtId="172" fontId="166" fillId="0" borderId="57" xfId="9" applyNumberFormat="1" applyFont="1" applyFill="1" applyBorder="1" applyAlignment="1" applyProtection="1">
      <alignment vertical="top"/>
      <protection locked="0"/>
    </xf>
    <xf numFmtId="0" fontId="91" fillId="0" borderId="0" xfId="0" applyFont="1" applyBorder="1" applyProtection="1">
      <protection locked="0"/>
    </xf>
    <xf numFmtId="172" fontId="157" fillId="0" borderId="0" xfId="9" applyNumberFormat="1" applyFont="1" applyFill="1" applyBorder="1" applyAlignment="1" applyProtection="1">
      <alignment horizontal="center" vertical="top"/>
      <protection locked="0"/>
    </xf>
    <xf numFmtId="172" fontId="167" fillId="0" borderId="0" xfId="9" applyNumberFormat="1" applyFont="1" applyFill="1" applyBorder="1" applyAlignment="1" applyProtection="1">
      <alignment horizontal="right" vertical="top"/>
      <protection locked="0"/>
    </xf>
    <xf numFmtId="172" fontId="157" fillId="0" borderId="0" xfId="9" applyNumberFormat="1" applyFont="1" applyFill="1" applyBorder="1" applyAlignment="1" applyProtection="1">
      <alignment vertical="top"/>
      <protection locked="0"/>
    </xf>
    <xf numFmtId="0" fontId="92" fillId="2" borderId="142" xfId="0" applyFont="1" applyFill="1" applyBorder="1" applyAlignment="1" applyProtection="1">
      <alignment horizontal="center"/>
      <protection locked="0"/>
    </xf>
    <xf numFmtId="164" fontId="90" fillId="70" borderId="55" xfId="11" applyNumberFormat="1" applyFont="1" applyFill="1" applyBorder="1" applyAlignment="1" applyProtection="1">
      <alignment horizontal="center" vertical="top"/>
      <protection locked="0"/>
    </xf>
    <xf numFmtId="0" fontId="92" fillId="0" borderId="1" xfId="0" applyFont="1" applyBorder="1"/>
    <xf numFmtId="0" fontId="92" fillId="63" borderId="57" xfId="0" applyFont="1" applyFill="1" applyBorder="1" applyAlignment="1">
      <alignment wrapText="1"/>
    </xf>
    <xf numFmtId="0" fontId="92" fillId="63" borderId="66" xfId="0" applyFont="1" applyFill="1" applyBorder="1" applyAlignment="1">
      <alignment wrapText="1"/>
    </xf>
    <xf numFmtId="0" fontId="96" fillId="2" borderId="47" xfId="0" applyFont="1" applyFill="1" applyBorder="1" applyProtection="1">
      <protection locked="0"/>
    </xf>
    <xf numFmtId="0" fontId="96" fillId="2" borderId="50" xfId="0" applyFont="1" applyFill="1" applyBorder="1" applyProtection="1">
      <protection locked="0"/>
    </xf>
    <xf numFmtId="0" fontId="92" fillId="0" borderId="70" xfId="0" applyFont="1" applyFill="1" applyBorder="1" applyAlignment="1" applyProtection="1">
      <alignment horizontal="center"/>
    </xf>
    <xf numFmtId="172" fontId="15" fillId="0" borderId="57" xfId="6628" applyNumberFormat="1" applyFont="1" applyBorder="1" applyAlignment="1">
      <alignment horizontal="center"/>
    </xf>
    <xf numFmtId="0" fontId="64" fillId="0" borderId="0" xfId="8" applyFont="1" applyBorder="1" applyAlignment="1" applyProtection="1">
      <alignment horizontal="center"/>
    </xf>
    <xf numFmtId="0" fontId="135" fillId="0" borderId="0" xfId="0" applyFont="1" applyAlignment="1">
      <alignment horizontal="center"/>
    </xf>
    <xf numFmtId="0" fontId="126" fillId="68" borderId="66" xfId="0" applyFont="1" applyFill="1" applyBorder="1"/>
    <xf numFmtId="195" fontId="92" fillId="64" borderId="64" xfId="0" applyNumberFormat="1" applyFont="1" applyFill="1" applyBorder="1" applyAlignment="1" applyProtection="1">
      <alignment horizontal="right"/>
    </xf>
    <xf numFmtId="174" fontId="92" fillId="0" borderId="66" xfId="0" applyNumberFormat="1" applyFont="1" applyBorder="1" applyAlignment="1" applyProtection="1">
      <alignment horizontal="right" vertical="top"/>
    </xf>
    <xf numFmtId="5" fontId="92" fillId="0" borderId="66" xfId="0" applyNumberFormat="1" applyFont="1" applyBorder="1" applyAlignment="1" applyProtection="1">
      <alignment horizontal="center" vertical="top"/>
    </xf>
    <xf numFmtId="1" fontId="91" fillId="0" borderId="66" xfId="0" applyNumberFormat="1" applyFont="1" applyFill="1" applyBorder="1" applyAlignment="1" applyProtection="1">
      <alignment horizontal="left"/>
    </xf>
    <xf numFmtId="172" fontId="91" fillId="0" borderId="66" xfId="0" applyNumberFormat="1" applyFont="1" applyFill="1" applyBorder="1" applyAlignment="1" applyProtection="1">
      <alignment horizontal="center"/>
    </xf>
    <xf numFmtId="177" fontId="91" fillId="0" borderId="57" xfId="0" applyNumberFormat="1" applyFont="1" applyFill="1" applyBorder="1" applyAlignment="1" applyProtection="1">
      <alignment horizontal="left"/>
    </xf>
    <xf numFmtId="177" fontId="91" fillId="0" borderId="57" xfId="0" applyNumberFormat="1" applyFont="1" applyFill="1" applyBorder="1" applyAlignment="1" applyProtection="1">
      <alignment horizontal="right" vertical="top"/>
    </xf>
    <xf numFmtId="174" fontId="91" fillId="0" borderId="57" xfId="0" applyNumberFormat="1" applyFont="1" applyFill="1" applyBorder="1" applyAlignment="1" applyProtection="1">
      <alignment horizontal="right" vertical="top"/>
    </xf>
    <xf numFmtId="0" fontId="110" fillId="63" borderId="66" xfId="0" applyFont="1" applyFill="1" applyBorder="1" applyProtection="1"/>
    <xf numFmtId="164" fontId="152" fillId="63" borderId="66" xfId="0" applyNumberFormat="1" applyFont="1" applyFill="1" applyBorder="1" applyAlignment="1" applyProtection="1">
      <alignment horizontal="right" vertical="top"/>
    </xf>
    <xf numFmtId="175" fontId="92" fillId="0" borderId="66" xfId="0" applyNumberFormat="1" applyFont="1" applyBorder="1" applyAlignment="1" applyProtection="1">
      <alignment horizontal="right" vertical="top"/>
    </xf>
    <xf numFmtId="0" fontId="104" fillId="0" borderId="57" xfId="0" applyFont="1" applyFill="1" applyBorder="1" applyAlignment="1" applyProtection="1">
      <alignment horizontal="center" vertical="top"/>
    </xf>
    <xf numFmtId="172" fontId="92" fillId="3" borderId="57" xfId="0" applyNumberFormat="1" applyFont="1" applyFill="1" applyBorder="1" applyAlignment="1">
      <alignment horizontal="right"/>
    </xf>
    <xf numFmtId="0" fontId="92" fillId="63" borderId="57" xfId="0" applyFont="1" applyFill="1" applyBorder="1"/>
    <xf numFmtId="172" fontId="92" fillId="0" borderId="57" xfId="0" applyNumberFormat="1" applyFont="1" applyFill="1" applyBorder="1" applyAlignment="1" applyProtection="1">
      <alignment horizontal="center"/>
    </xf>
    <xf numFmtId="172" fontId="92" fillId="0" borderId="57" xfId="0" applyNumberFormat="1" applyFont="1" applyFill="1" applyBorder="1" applyAlignment="1" applyProtection="1">
      <alignment horizontal="center" vertical="top"/>
    </xf>
    <xf numFmtId="172" fontId="91" fillId="66" borderId="57" xfId="0" applyNumberFormat="1" applyFont="1" applyFill="1" applyBorder="1" applyAlignment="1">
      <alignment horizontal="right"/>
    </xf>
    <xf numFmtId="0" fontId="107" fillId="0" borderId="57" xfId="0" applyFont="1" applyFill="1" applyBorder="1" applyAlignment="1" applyProtection="1">
      <alignment horizontal="right" vertical="top"/>
    </xf>
    <xf numFmtId="0" fontId="104" fillId="0" borderId="57" xfId="0" applyFont="1" applyFill="1" applyBorder="1" applyAlignment="1" applyProtection="1">
      <alignment horizontal="right" vertical="top"/>
    </xf>
    <xf numFmtId="0" fontId="91" fillId="70" borderId="57" xfId="0" applyFont="1" applyFill="1" applyBorder="1"/>
    <xf numFmtId="201" fontId="91" fillId="0" borderId="64" xfId="0" applyNumberFormat="1" applyFont="1" applyBorder="1" applyAlignment="1" applyProtection="1">
      <alignment horizontal="right"/>
    </xf>
    <xf numFmtId="174" fontId="92" fillId="0" borderId="66" xfId="0" applyNumberFormat="1" applyFont="1" applyBorder="1" applyAlignment="1" applyProtection="1">
      <alignment horizontal="right" wrapText="1"/>
    </xf>
    <xf numFmtId="172" fontId="92" fillId="6" borderId="57" xfId="0" applyNumberFormat="1" applyFont="1" applyFill="1" applyBorder="1" applyAlignment="1" applyProtection="1">
      <alignment horizontal="center"/>
    </xf>
    <xf numFmtId="174" fontId="91" fillId="0" borderId="57" xfId="0" applyNumberFormat="1" applyFont="1" applyFill="1" applyBorder="1" applyProtection="1"/>
    <xf numFmtId="164" fontId="91" fillId="3" borderId="66" xfId="0" applyNumberFormat="1" applyFont="1" applyFill="1" applyBorder="1" applyAlignment="1">
      <alignment horizontal="center" vertical="top"/>
    </xf>
    <xf numFmtId="0" fontId="91" fillId="3" borderId="66" xfId="0" applyFont="1" applyFill="1" applyBorder="1"/>
    <xf numFmtId="0" fontId="92" fillId="3" borderId="57" xfId="0" applyFont="1" applyFill="1" applyBorder="1" applyAlignment="1">
      <alignment horizontal="center"/>
    </xf>
    <xf numFmtId="172" fontId="2" fillId="0" borderId="0" xfId="6628" applyNumberFormat="1" applyFont="1"/>
    <xf numFmtId="0" fontId="89" fillId="0" borderId="57" xfId="0" applyFont="1" applyFill="1" applyBorder="1" applyProtection="1"/>
    <xf numFmtId="183" fontId="91" fillId="0" borderId="57" xfId="13118" applyNumberFormat="1" applyFont="1" applyFill="1" applyBorder="1" applyProtection="1"/>
    <xf numFmtId="174" fontId="92" fillId="0" borderId="57" xfId="13118" applyNumberFormat="1" applyFont="1" applyFill="1" applyBorder="1" applyProtection="1"/>
    <xf numFmtId="0" fontId="92" fillId="64" borderId="64" xfId="0" applyFont="1" applyFill="1" applyBorder="1" applyAlignment="1">
      <alignment horizontal="right"/>
    </xf>
    <xf numFmtId="0" fontId="92" fillId="3" borderId="57" xfId="0" applyFont="1" applyFill="1" applyBorder="1" applyProtection="1"/>
    <xf numFmtId="0" fontId="91" fillId="3" borderId="57" xfId="0" applyFont="1" applyFill="1" applyBorder="1" applyProtection="1"/>
    <xf numFmtId="0" fontId="92" fillId="3" borderId="57" xfId="0" applyFont="1" applyFill="1" applyBorder="1" applyAlignment="1" applyProtection="1">
      <alignment horizontal="center"/>
    </xf>
    <xf numFmtId="0" fontId="104" fillId="0" borderId="40" xfId="0" applyFont="1" applyFill="1" applyBorder="1" applyAlignment="1" applyProtection="1">
      <alignment horizontal="center" vertical="top"/>
    </xf>
    <xf numFmtId="0" fontId="107" fillId="0" borderId="40" xfId="0" applyFont="1" applyFill="1" applyBorder="1" applyAlignment="1" applyProtection="1">
      <alignment horizontal="center" vertical="top"/>
    </xf>
    <xf numFmtId="0" fontId="15" fillId="0" borderId="0" xfId="8" applyFont="1" applyAlignment="1">
      <alignment horizontal="center"/>
    </xf>
    <xf numFmtId="208" fontId="104" fillId="0" borderId="57" xfId="6" applyNumberFormat="1" applyFont="1" applyFill="1" applyBorder="1" applyAlignment="1" applyProtection="1">
      <alignment horizontal="center"/>
    </xf>
    <xf numFmtId="172" fontId="107" fillId="0" borderId="57" xfId="5" applyNumberFormat="1" applyFont="1" applyBorder="1" applyAlignment="1" applyProtection="1">
      <alignment horizontal="center"/>
    </xf>
    <xf numFmtId="43" fontId="83" fillId="0" borderId="57" xfId="4" applyFont="1" applyBorder="1" applyProtection="1"/>
    <xf numFmtId="0" fontId="83" fillId="0" borderId="57" xfId="0" applyFont="1" applyBorder="1"/>
    <xf numFmtId="174" fontId="107" fillId="0" borderId="57" xfId="5" applyNumberFormat="1" applyFont="1" applyBorder="1" applyAlignment="1" applyProtection="1">
      <alignment horizontal="right"/>
    </xf>
    <xf numFmtId="43" fontId="8" fillId="0" borderId="0" xfId="4" applyFont="1"/>
    <xf numFmtId="190" fontId="0" fillId="0" borderId="0" xfId="0" applyNumberFormat="1"/>
    <xf numFmtId="0" fontId="11" fillId="0" borderId="1" xfId="0" quotePrefix="1" applyFont="1" applyBorder="1" applyAlignment="1">
      <alignment horizontal="right"/>
    </xf>
    <xf numFmtId="175" fontId="121" fillId="0" borderId="0" xfId="0" applyNumberFormat="1" applyFont="1" applyBorder="1" applyAlignment="1">
      <alignment horizontal="center"/>
    </xf>
    <xf numFmtId="0" fontId="83" fillId="68" borderId="0" xfId="0" applyFont="1" applyFill="1" applyProtection="1"/>
    <xf numFmtId="0" fontId="83" fillId="68" borderId="47" xfId="0" applyFont="1" applyFill="1" applyBorder="1" applyProtection="1"/>
    <xf numFmtId="0" fontId="91" fillId="0" borderId="0" xfId="0" quotePrefix="1" applyFont="1" applyFill="1" applyBorder="1" applyAlignment="1" applyProtection="1">
      <alignment horizontal="right" vertical="top"/>
    </xf>
    <xf numFmtId="172" fontId="91" fillId="68" borderId="0" xfId="0" applyNumberFormat="1" applyFont="1" applyFill="1" applyBorder="1" applyAlignment="1" applyProtection="1">
      <alignment horizontal="right" vertical="top"/>
    </xf>
    <xf numFmtId="0" fontId="118" fillId="2" borderId="47" xfId="0" applyFont="1" applyFill="1" applyBorder="1" applyAlignment="1" applyProtection="1">
      <alignment horizontal="left"/>
      <protection locked="0"/>
    </xf>
    <xf numFmtId="0" fontId="127" fillId="2" borderId="52"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applyAlignment="1"/>
    <xf numFmtId="0" fontId="96" fillId="2" borderId="52" xfId="0" applyFont="1" applyFill="1" applyBorder="1" applyAlignment="1" applyProtection="1">
      <alignment horizontal="left"/>
      <protection locked="0"/>
    </xf>
    <xf numFmtId="0" fontId="91" fillId="2" borderId="52" xfId="7" applyFont="1" applyFill="1" applyBorder="1" applyAlignment="1" applyProtection="1">
      <alignment horizontal="left" wrapText="1"/>
      <protection locked="0"/>
    </xf>
    <xf numFmtId="0" fontId="96" fillId="2" borderId="47" xfId="0" applyFont="1" applyFill="1" applyBorder="1" applyAlignment="1" applyProtection="1">
      <alignment horizontal="left"/>
      <protection locked="0"/>
    </xf>
    <xf numFmtId="0" fontId="91" fillId="2" borderId="47" xfId="7" applyFont="1" applyFill="1" applyBorder="1" applyAlignment="1" applyProtection="1">
      <alignment horizontal="left" wrapText="1"/>
      <protection locked="0"/>
    </xf>
    <xf numFmtId="0" fontId="118" fillId="2" borderId="52" xfId="0" applyFont="1" applyFill="1" applyBorder="1" applyAlignment="1" applyProtection="1">
      <alignment horizontal="left"/>
      <protection locked="0"/>
    </xf>
    <xf numFmtId="0" fontId="92" fillId="63" borderId="57" xfId="0" applyFont="1" applyFill="1" applyBorder="1" applyAlignment="1">
      <alignment wrapText="1"/>
    </xf>
    <xf numFmtId="0" fontId="92" fillId="63" borderId="66" xfId="0" applyFont="1" applyFill="1" applyBorder="1" applyAlignment="1">
      <alignment wrapText="1"/>
    </xf>
    <xf numFmtId="0" fontId="96" fillId="2" borderId="52" xfId="0" applyFont="1" applyFill="1" applyBorder="1" applyAlignment="1" applyProtection="1">
      <protection locked="0"/>
    </xf>
    <xf numFmtId="0" fontId="96" fillId="2" borderId="47" xfId="0" applyFont="1" applyFill="1" applyBorder="1" applyAlignment="1" applyProtection="1">
      <protection locked="0"/>
    </xf>
    <xf numFmtId="0" fontId="96" fillId="2" borderId="50" xfId="0" applyFont="1" applyFill="1" applyBorder="1" applyAlignment="1" applyProtection="1">
      <protection locked="0"/>
    </xf>
    <xf numFmtId="0" fontId="100" fillId="0" borderId="1" xfId="7" applyFont="1" applyFill="1" applyBorder="1" applyAlignment="1" applyProtection="1">
      <alignment horizontal="right" wrapText="1" indent="1"/>
    </xf>
    <xf numFmtId="0" fontId="100" fillId="0" borderId="14" xfId="7" applyFont="1" applyFill="1" applyBorder="1" applyAlignment="1" applyProtection="1">
      <alignment horizontal="right" wrapText="1" indent="1"/>
    </xf>
    <xf numFmtId="0" fontId="89" fillId="0" borderId="57" xfId="0" applyFont="1" applyFill="1" applyBorder="1" applyAlignment="1">
      <alignment horizontal="left"/>
    </xf>
    <xf numFmtId="0" fontId="89" fillId="0" borderId="66" xfId="0" applyFont="1" applyFill="1" applyBorder="1" applyAlignment="1">
      <alignment horizontal="left"/>
    </xf>
    <xf numFmtId="0" fontId="91" fillId="0" borderId="0" xfId="0" applyFont="1" applyFill="1" applyAlignment="1" applyProtection="1"/>
    <xf numFmtId="0" fontId="109" fillId="65" borderId="0" xfId="0" applyFont="1" applyFill="1" applyAlignment="1" applyProtection="1">
      <alignment wrapText="1"/>
    </xf>
    <xf numFmtId="0" fontId="102" fillId="60" borderId="0" xfId="0" applyFont="1" applyFill="1" applyBorder="1" applyAlignment="1">
      <alignment horizontal="left"/>
    </xf>
    <xf numFmtId="0" fontId="61" fillId="68" borderId="0" xfId="0" applyFont="1" applyFill="1" applyAlignment="1"/>
    <xf numFmtId="0" fontId="113" fillId="65" borderId="0" xfId="0" quotePrefix="1" applyFont="1" applyFill="1" applyAlignment="1">
      <alignment vertical="center" wrapText="1"/>
    </xf>
    <xf numFmtId="0" fontId="113" fillId="65" borderId="0" xfId="0" quotePrefix="1" applyFont="1" applyFill="1" applyAlignment="1">
      <alignment vertical="center"/>
    </xf>
    <xf numFmtId="0" fontId="89" fillId="60" borderId="70" xfId="0" applyFont="1" applyFill="1" applyBorder="1" applyAlignment="1" applyProtection="1">
      <alignment horizontal="center" vertical="center" wrapText="1"/>
    </xf>
    <xf numFmtId="0" fontId="89" fillId="60" borderId="66" xfId="0" applyFont="1" applyFill="1" applyBorder="1" applyAlignment="1" applyProtection="1">
      <alignment horizontal="center" vertical="center" wrapText="1"/>
    </xf>
    <xf numFmtId="0" fontId="89" fillId="60" borderId="64" xfId="0" applyFont="1" applyFill="1" applyBorder="1" applyAlignment="1" applyProtection="1">
      <alignment horizontal="center" vertical="center" wrapText="1"/>
    </xf>
    <xf numFmtId="0" fontId="96" fillId="2" borderId="108" xfId="0" applyFont="1" applyFill="1" applyBorder="1" applyAlignment="1" applyProtection="1">
      <protection locked="0"/>
    </xf>
    <xf numFmtId="0" fontId="96" fillId="2" borderId="48" xfId="0" applyFont="1" applyFill="1" applyBorder="1" applyAlignment="1" applyProtection="1">
      <protection locked="0"/>
    </xf>
    <xf numFmtId="0" fontId="96" fillId="2" borderId="48" xfId="0" quotePrefix="1" applyFont="1" applyFill="1" applyBorder="1" applyAlignment="1" applyProtection="1">
      <protection locked="0"/>
    </xf>
    <xf numFmtId="0" fontId="96" fillId="2" borderId="109" xfId="0" applyFont="1" applyFill="1" applyBorder="1" applyAlignment="1" applyProtection="1">
      <protection locked="0"/>
    </xf>
    <xf numFmtId="0" fontId="92" fillId="0" borderId="70" xfId="0" applyFont="1" applyFill="1" applyBorder="1" applyAlignment="1" applyProtection="1">
      <alignment horizontal="center"/>
    </xf>
    <xf numFmtId="0" fontId="92" fillId="0" borderId="66" xfId="0" applyFont="1" applyFill="1" applyBorder="1" applyAlignment="1" applyProtection="1">
      <alignment horizontal="center"/>
    </xf>
    <xf numFmtId="0" fontId="92" fillId="0" borderId="64" xfId="0" applyFont="1" applyFill="1" applyBorder="1" applyAlignment="1" applyProtection="1">
      <alignment horizontal="center"/>
    </xf>
    <xf numFmtId="0" fontId="64" fillId="0" borderId="0" xfId="8" applyFont="1" applyBorder="1" applyAlignment="1" applyProtection="1">
      <alignment horizontal="center"/>
    </xf>
    <xf numFmtId="0" fontId="135" fillId="0" borderId="0" xfId="0" applyFont="1" applyAlignment="1">
      <alignment horizontal="center"/>
    </xf>
    <xf numFmtId="0" fontId="64" fillId="62" borderId="99" xfId="33111" applyFont="1" applyFill="1" applyBorder="1" applyAlignment="1">
      <alignment horizontal="center" vertical="top" wrapText="1"/>
    </xf>
    <xf numFmtId="0" fontId="64" fillId="62" borderId="100" xfId="33111" applyFont="1" applyFill="1" applyBorder="1" applyAlignment="1">
      <alignment horizontal="center" vertical="top" wrapText="1"/>
    </xf>
    <xf numFmtId="172" fontId="15" fillId="0" borderId="57" xfId="6628" applyNumberFormat="1" applyFont="1" applyBorder="1" applyAlignment="1">
      <alignment horizontal="center"/>
    </xf>
  </cellXfs>
  <cellStyles count="33112">
    <cellStyle name="20% - Accent1" xfId="28" builtinId="30" customBuiltin="1"/>
    <cellStyle name="20% - Accent1 10" xfId="53"/>
    <cellStyle name="20% - Accent1 10 2" xfId="54"/>
    <cellStyle name="20% - Accent1 10 2 2" xfId="55"/>
    <cellStyle name="20% - Accent1 10 2 2 2" xfId="12454"/>
    <cellStyle name="20% - Accent1 10 2 2 2 2" xfId="26166"/>
    <cellStyle name="20% - Accent1 10 2 2 3" xfId="17378"/>
    <cellStyle name="20% - Accent1 10 2 3" xfId="56"/>
    <cellStyle name="20% - Accent1 10 2 3 2" xfId="14599"/>
    <cellStyle name="20% - Accent1 10 2 3 2 2" xfId="28148"/>
    <cellStyle name="20% - Accent1 10 2 3 3" xfId="17379"/>
    <cellStyle name="20% - Accent1 10 2 4" xfId="10546"/>
    <cellStyle name="20% - Accent1 10 2 4 2" xfId="24488"/>
    <cellStyle name="20% - Accent1 10 2 5" xfId="17377"/>
    <cellStyle name="20% - Accent1 10 3" xfId="57"/>
    <cellStyle name="20% - Accent1 10 3 2" xfId="12413"/>
    <cellStyle name="20% - Accent1 10 3 2 2" xfId="26125"/>
    <cellStyle name="20% - Accent1 10 3 3" xfId="17380"/>
    <cellStyle name="20% - Accent1 10 4" xfId="58"/>
    <cellStyle name="20% - Accent1 10 4 2" xfId="14600"/>
    <cellStyle name="20% - Accent1 10 4 2 2" xfId="28149"/>
    <cellStyle name="20% - Accent1 10 4 3" xfId="17381"/>
    <cellStyle name="20% - Accent1 10 5" xfId="59"/>
    <cellStyle name="20% - Accent1 10 5 2" xfId="17185"/>
    <cellStyle name="20% - Accent1 10 5 2 2" xfId="30544"/>
    <cellStyle name="20% - Accent1 10 5 3" xfId="17382"/>
    <cellStyle name="20% - Accent1 10 6" xfId="8821"/>
    <cellStyle name="20% - Accent1 10 6 2" xfId="23296"/>
    <cellStyle name="20% - Accent1 10 7" xfId="17376"/>
    <cellStyle name="20% - Accent1 11" xfId="60"/>
    <cellStyle name="20% - Accent1 11 2" xfId="61"/>
    <cellStyle name="20% - Accent1 11 2 2" xfId="10547"/>
    <cellStyle name="20% - Accent1 11 2 2 2" xfId="24489"/>
    <cellStyle name="20% - Accent1 11 2 3" xfId="17384"/>
    <cellStyle name="20% - Accent1 11 3" xfId="62"/>
    <cellStyle name="20% - Accent1 11 3 2" xfId="12645"/>
    <cellStyle name="20% - Accent1 11 3 2 2" xfId="26357"/>
    <cellStyle name="20% - Accent1 11 3 3" xfId="17385"/>
    <cellStyle name="20% - Accent1 11 4" xfId="63"/>
    <cellStyle name="20% - Accent1 11 4 2" xfId="14598"/>
    <cellStyle name="20% - Accent1 11 4 2 2" xfId="28147"/>
    <cellStyle name="20% - Accent1 11 4 3" xfId="17386"/>
    <cellStyle name="20% - Accent1 11 5" xfId="64"/>
    <cellStyle name="20% - Accent1 11 5 2" xfId="17274"/>
    <cellStyle name="20% - Accent1 11 5 2 2" xfId="30633"/>
    <cellStyle name="20% - Accent1 11 5 3" xfId="17387"/>
    <cellStyle name="20% - Accent1 11 6" xfId="8822"/>
    <cellStyle name="20% - Accent1 11 6 2" xfId="23297"/>
    <cellStyle name="20% - Accent1 11 7" xfId="17383"/>
    <cellStyle name="20% - Accent1 12" xfId="65"/>
    <cellStyle name="20% - Accent1 12 2" xfId="66"/>
    <cellStyle name="20% - Accent1 12 2 2" xfId="67"/>
    <cellStyle name="20% - Accent1 12 2 2 2" xfId="10549"/>
    <cellStyle name="20% - Accent1 12 2 2 2 2" xfId="24491"/>
    <cellStyle name="20% - Accent1 12 2 2 3" xfId="17390"/>
    <cellStyle name="20% - Accent1 12 2 3" xfId="68"/>
    <cellStyle name="20% - Accent1 12 2 3 2" xfId="12765"/>
    <cellStyle name="20% - Accent1 12 2 3 2 2" xfId="26477"/>
    <cellStyle name="20% - Accent1 12 2 3 3" xfId="17391"/>
    <cellStyle name="20% - Accent1 12 2 4" xfId="69"/>
    <cellStyle name="20% - Accent1 12 2 4 2" xfId="14596"/>
    <cellStyle name="20% - Accent1 12 2 4 2 2" xfId="28145"/>
    <cellStyle name="20% - Accent1 12 2 4 3" xfId="17392"/>
    <cellStyle name="20% - Accent1 12 2 5" xfId="8824"/>
    <cellStyle name="20% - Accent1 12 2 5 2" xfId="23299"/>
    <cellStyle name="20% - Accent1 12 2 6" xfId="17389"/>
    <cellStyle name="20% - Accent1 12 3" xfId="70"/>
    <cellStyle name="20% - Accent1 12 3 2" xfId="10548"/>
    <cellStyle name="20% - Accent1 12 3 2 2" xfId="24490"/>
    <cellStyle name="20% - Accent1 12 3 3" xfId="17393"/>
    <cellStyle name="20% - Accent1 12 4" xfId="71"/>
    <cellStyle name="20% - Accent1 12 4 2" xfId="12433"/>
    <cellStyle name="20% - Accent1 12 4 2 2" xfId="26145"/>
    <cellStyle name="20% - Accent1 12 4 3" xfId="17394"/>
    <cellStyle name="20% - Accent1 12 5" xfId="72"/>
    <cellStyle name="20% - Accent1 12 5 2" xfId="14597"/>
    <cellStyle name="20% - Accent1 12 5 2 2" xfId="28146"/>
    <cellStyle name="20% - Accent1 12 5 3" xfId="17395"/>
    <cellStyle name="20% - Accent1 12 6" xfId="73"/>
    <cellStyle name="20% - Accent1 12 6 2" xfId="16426"/>
    <cellStyle name="20% - Accent1 12 6 2 2" xfId="29833"/>
    <cellStyle name="20% - Accent1 12 6 3" xfId="17396"/>
    <cellStyle name="20% - Accent1 12 7" xfId="8823"/>
    <cellStyle name="20% - Accent1 12 7 2" xfId="23298"/>
    <cellStyle name="20% - Accent1 12 8" xfId="17388"/>
    <cellStyle name="20% - Accent1 13" xfId="74"/>
    <cellStyle name="20% - Accent1 13 2" xfId="75"/>
    <cellStyle name="20% - Accent1 13 2 2" xfId="10550"/>
    <cellStyle name="20% - Accent1 13 2 2 2" xfId="24492"/>
    <cellStyle name="20% - Accent1 13 2 3" xfId="17398"/>
    <cellStyle name="20% - Accent1 13 3" xfId="76"/>
    <cellStyle name="20% - Accent1 13 3 2" xfId="12634"/>
    <cellStyle name="20% - Accent1 13 3 2 2" xfId="26346"/>
    <cellStyle name="20% - Accent1 13 3 3" xfId="17399"/>
    <cellStyle name="20% - Accent1 13 4" xfId="77"/>
    <cellStyle name="20% - Accent1 13 4 2" xfId="14595"/>
    <cellStyle name="20% - Accent1 13 4 2 2" xfId="28144"/>
    <cellStyle name="20% - Accent1 13 4 3" xfId="17400"/>
    <cellStyle name="20% - Accent1 13 5" xfId="8825"/>
    <cellStyle name="20% - Accent1 13 5 2" xfId="23300"/>
    <cellStyle name="20% - Accent1 13 6" xfId="17397"/>
    <cellStyle name="20% - Accent1 14" xfId="78"/>
    <cellStyle name="20% - Accent1 14 2" xfId="79"/>
    <cellStyle name="20% - Accent1 14 2 2" xfId="10551"/>
    <cellStyle name="20% - Accent1 14 2 2 2" xfId="24493"/>
    <cellStyle name="20% - Accent1 14 2 3" xfId="17402"/>
    <cellStyle name="20% - Accent1 14 3" xfId="80"/>
    <cellStyle name="20% - Accent1 14 3 2" xfId="12602"/>
    <cellStyle name="20% - Accent1 14 3 2 2" xfId="26314"/>
    <cellStyle name="20% - Accent1 14 3 3" xfId="17403"/>
    <cellStyle name="20% - Accent1 14 4" xfId="81"/>
    <cellStyle name="20% - Accent1 14 4 2" xfId="14594"/>
    <cellStyle name="20% - Accent1 14 4 2 2" xfId="28143"/>
    <cellStyle name="20% - Accent1 14 4 3" xfId="17404"/>
    <cellStyle name="20% - Accent1 14 5" xfId="8826"/>
    <cellStyle name="20% - Accent1 14 5 2" xfId="23301"/>
    <cellStyle name="20% - Accent1 14 6" xfId="17401"/>
    <cellStyle name="20% - Accent1 15" xfId="82"/>
    <cellStyle name="20% - Accent1 15 2" xfId="83"/>
    <cellStyle name="20% - Accent1 15 2 2" xfId="10552"/>
    <cellStyle name="20% - Accent1 15 2 2 2" xfId="24494"/>
    <cellStyle name="20% - Accent1 15 2 3" xfId="17406"/>
    <cellStyle name="20% - Accent1 15 3" xfId="84"/>
    <cellStyle name="20% - Accent1 15 3 2" xfId="12475"/>
    <cellStyle name="20% - Accent1 15 3 2 2" xfId="26187"/>
    <cellStyle name="20% - Accent1 15 3 3" xfId="17407"/>
    <cellStyle name="20% - Accent1 15 4" xfId="85"/>
    <cellStyle name="20% - Accent1 15 4 2" xfId="14593"/>
    <cellStyle name="20% - Accent1 15 4 2 2" xfId="28142"/>
    <cellStyle name="20% - Accent1 15 4 3" xfId="17408"/>
    <cellStyle name="20% - Accent1 15 5" xfId="8827"/>
    <cellStyle name="20% - Accent1 15 5 2" xfId="23302"/>
    <cellStyle name="20% - Accent1 15 6" xfId="17405"/>
    <cellStyle name="20% - Accent1 16" xfId="86"/>
    <cellStyle name="20% - Accent1 16 2" xfId="87"/>
    <cellStyle name="20% - Accent1 16 2 2" xfId="10553"/>
    <cellStyle name="20% - Accent1 16 2 2 2" xfId="24495"/>
    <cellStyle name="20% - Accent1 16 2 3" xfId="17410"/>
    <cellStyle name="20% - Accent1 16 3" xfId="88"/>
    <cellStyle name="20% - Accent1 16 3 2" xfId="12498"/>
    <cellStyle name="20% - Accent1 16 3 2 2" xfId="26210"/>
    <cellStyle name="20% - Accent1 16 3 3" xfId="17411"/>
    <cellStyle name="20% - Accent1 16 4" xfId="89"/>
    <cellStyle name="20% - Accent1 16 4 2" xfId="14592"/>
    <cellStyle name="20% - Accent1 16 4 2 2" xfId="28141"/>
    <cellStyle name="20% - Accent1 16 4 3" xfId="17412"/>
    <cellStyle name="20% - Accent1 16 5" xfId="8828"/>
    <cellStyle name="20% - Accent1 16 5 2" xfId="23303"/>
    <cellStyle name="20% - Accent1 16 6" xfId="17409"/>
    <cellStyle name="20% - Accent1 17" xfId="90"/>
    <cellStyle name="20% - Accent1 17 2" xfId="91"/>
    <cellStyle name="20% - Accent1 17 2 2" xfId="10554"/>
    <cellStyle name="20% - Accent1 17 2 2 2" xfId="24496"/>
    <cellStyle name="20% - Accent1 17 2 3" xfId="17414"/>
    <cellStyle name="20% - Accent1 17 3" xfId="92"/>
    <cellStyle name="20% - Accent1 17 3 2" xfId="12112"/>
    <cellStyle name="20% - Accent1 17 3 2 2" xfId="25824"/>
    <cellStyle name="20% - Accent1 17 3 3" xfId="17415"/>
    <cellStyle name="20% - Accent1 17 4" xfId="93"/>
    <cellStyle name="20% - Accent1 17 4 2" xfId="14591"/>
    <cellStyle name="20% - Accent1 17 4 2 2" xfId="28140"/>
    <cellStyle name="20% - Accent1 17 4 3" xfId="17416"/>
    <cellStyle name="20% - Accent1 17 5" xfId="8829"/>
    <cellStyle name="20% - Accent1 17 5 2" xfId="23304"/>
    <cellStyle name="20% - Accent1 17 6" xfId="17413"/>
    <cellStyle name="20% - Accent1 18" xfId="94"/>
    <cellStyle name="20% - Accent1 18 2" xfId="95"/>
    <cellStyle name="20% - Accent1 18 2 2" xfId="10555"/>
    <cellStyle name="20% - Accent1 18 2 2 2" xfId="24497"/>
    <cellStyle name="20% - Accent1 18 2 3" xfId="17418"/>
    <cellStyle name="20% - Accent1 18 3" xfId="96"/>
    <cellStyle name="20% - Accent1 18 3 2" xfId="12802"/>
    <cellStyle name="20% - Accent1 18 3 2 2" xfId="26514"/>
    <cellStyle name="20% - Accent1 18 3 3" xfId="17419"/>
    <cellStyle name="20% - Accent1 18 4" xfId="97"/>
    <cellStyle name="20% - Accent1 18 4 2" xfId="14540"/>
    <cellStyle name="20% - Accent1 18 4 2 2" xfId="28089"/>
    <cellStyle name="20% - Accent1 18 4 3" xfId="17420"/>
    <cellStyle name="20% - Accent1 18 5" xfId="8830"/>
    <cellStyle name="20% - Accent1 18 5 2" xfId="23305"/>
    <cellStyle name="20% - Accent1 18 6" xfId="17417"/>
    <cellStyle name="20% - Accent1 19" xfId="98"/>
    <cellStyle name="20% - Accent1 19 2" xfId="99"/>
    <cellStyle name="20% - Accent1 19 2 2" xfId="11710"/>
    <cellStyle name="20% - Accent1 19 2 2 2" xfId="25430"/>
    <cellStyle name="20% - Accent1 19 2 3" xfId="17422"/>
    <cellStyle name="20% - Accent1 19 3" xfId="100"/>
    <cellStyle name="20% - Accent1 19 3 2" xfId="12757"/>
    <cellStyle name="20% - Accent1 19 3 2 2" xfId="26469"/>
    <cellStyle name="20% - Accent1 19 3 3" xfId="17423"/>
    <cellStyle name="20% - Accent1 19 4" xfId="101"/>
    <cellStyle name="20% - Accent1 19 4 2" xfId="14590"/>
    <cellStyle name="20% - Accent1 19 4 2 2" xfId="28139"/>
    <cellStyle name="20% - Accent1 19 4 3" xfId="17424"/>
    <cellStyle name="20% - Accent1 19 5" xfId="10462"/>
    <cellStyle name="20% - Accent1 19 5 2" xfId="24421"/>
    <cellStyle name="20% - Accent1 19 6" xfId="17421"/>
    <cellStyle name="20% - Accent1 2" xfId="102"/>
    <cellStyle name="20% - Accent1 2 10" xfId="103"/>
    <cellStyle name="20% - Accent1 2 10 2" xfId="104"/>
    <cellStyle name="20% - Accent1 2 10 2 2" xfId="14588"/>
    <cellStyle name="20% - Accent1 2 10 2 2 2" xfId="28137"/>
    <cellStyle name="20% - Accent1 2 10 2 3" xfId="17427"/>
    <cellStyle name="20% - Accent1 2 10 3" xfId="11835"/>
    <cellStyle name="20% - Accent1 2 10 3 2" xfId="25550"/>
    <cellStyle name="20% - Accent1 2 10 4" xfId="17426"/>
    <cellStyle name="20% - Accent1 2 11" xfId="105"/>
    <cellStyle name="20% - Accent1 2 11 2" xfId="12718"/>
    <cellStyle name="20% - Accent1 2 11 2 2" xfId="26430"/>
    <cellStyle name="20% - Accent1 2 11 3" xfId="17428"/>
    <cellStyle name="20% - Accent1 2 12" xfId="106"/>
    <cellStyle name="20% - Accent1 2 12 2" xfId="13435"/>
    <cellStyle name="20% - Accent1 2 12 2 2" xfId="26984"/>
    <cellStyle name="20% - Accent1 2 12 3" xfId="17429"/>
    <cellStyle name="20% - Accent1 2 13" xfId="107"/>
    <cellStyle name="20% - Accent1 2 13 2" xfId="14016"/>
    <cellStyle name="20% - Accent1 2 13 2 2" xfId="27565"/>
    <cellStyle name="20% - Accent1 2 13 3" xfId="17430"/>
    <cellStyle name="20% - Accent1 2 14" xfId="108"/>
    <cellStyle name="20% - Accent1 2 14 2" xfId="14589"/>
    <cellStyle name="20% - Accent1 2 14 2 2" xfId="28138"/>
    <cellStyle name="20% - Accent1 2 14 3" xfId="17431"/>
    <cellStyle name="20% - Accent1 2 15" xfId="109"/>
    <cellStyle name="20% - Accent1 2 15 2" xfId="15902"/>
    <cellStyle name="20% - Accent1 2 15 2 2" xfId="29309"/>
    <cellStyle name="20% - Accent1 2 15 3" xfId="17432"/>
    <cellStyle name="20% - Accent1 2 16" xfId="8831"/>
    <cellStyle name="20% - Accent1 2 16 2" xfId="23306"/>
    <cellStyle name="20% - Accent1 2 17" xfId="17425"/>
    <cellStyle name="20% - Accent1 2 18" xfId="33062"/>
    <cellStyle name="20% - Accent1 2 2" xfId="110"/>
    <cellStyle name="20% - Accent1 2 2 10" xfId="111"/>
    <cellStyle name="20% - Accent1 2 2 10 2" xfId="14587"/>
    <cellStyle name="20% - Accent1 2 2 10 2 2" xfId="28136"/>
    <cellStyle name="20% - Accent1 2 2 10 3" xfId="17434"/>
    <cellStyle name="20% - Accent1 2 2 11" xfId="112"/>
    <cellStyle name="20% - Accent1 2 2 11 2" xfId="15948"/>
    <cellStyle name="20% - Accent1 2 2 11 2 2" xfId="29355"/>
    <cellStyle name="20% - Accent1 2 2 11 3" xfId="17435"/>
    <cellStyle name="20% - Accent1 2 2 12" xfId="8832"/>
    <cellStyle name="20% - Accent1 2 2 12 2" xfId="23307"/>
    <cellStyle name="20% - Accent1 2 2 13" xfId="17433"/>
    <cellStyle name="20% - Accent1 2 2 2" xfId="113"/>
    <cellStyle name="20% - Accent1 2 2 2 10" xfId="114"/>
    <cellStyle name="20% - Accent1 2 2 2 10 2" xfId="16091"/>
    <cellStyle name="20% - Accent1 2 2 2 10 2 2" xfId="29498"/>
    <cellStyle name="20% - Accent1 2 2 2 10 3" xfId="17437"/>
    <cellStyle name="20% - Accent1 2 2 2 11" xfId="8833"/>
    <cellStyle name="20% - Accent1 2 2 2 11 2" xfId="23308"/>
    <cellStyle name="20% - Accent1 2 2 2 12" xfId="17436"/>
    <cellStyle name="20% - Accent1 2 2 2 2" xfId="115"/>
    <cellStyle name="20% - Accent1 2 2 2 2 10" xfId="8834"/>
    <cellStyle name="20% - Accent1 2 2 2 2 10 2" xfId="23309"/>
    <cellStyle name="20% - Accent1 2 2 2 2 11" xfId="17438"/>
    <cellStyle name="20% - Accent1 2 2 2 2 2" xfId="116"/>
    <cellStyle name="20% - Accent1 2 2 2 2 2 2" xfId="117"/>
    <cellStyle name="20% - Accent1 2 2 2 2 2 2 2" xfId="10560"/>
    <cellStyle name="20% - Accent1 2 2 2 2 2 2 2 2" xfId="24502"/>
    <cellStyle name="20% - Accent1 2 2 2 2 2 2 3" xfId="17440"/>
    <cellStyle name="20% - Accent1 2 2 2 2 2 3" xfId="118"/>
    <cellStyle name="20% - Accent1 2 2 2 2 2 3 2" xfId="12489"/>
    <cellStyle name="20% - Accent1 2 2 2 2 2 3 2 2" xfId="26201"/>
    <cellStyle name="20% - Accent1 2 2 2 2 2 3 3" xfId="17441"/>
    <cellStyle name="20% - Accent1 2 2 2 2 2 4" xfId="119"/>
    <cellStyle name="20% - Accent1 2 2 2 2 2 4 2" xfId="14584"/>
    <cellStyle name="20% - Accent1 2 2 2 2 2 4 2 2" xfId="28133"/>
    <cellStyle name="20% - Accent1 2 2 2 2 2 4 3" xfId="17442"/>
    <cellStyle name="20% - Accent1 2 2 2 2 2 5" xfId="120"/>
    <cellStyle name="20% - Accent1 2 2 2 2 2 5 2" xfId="16961"/>
    <cellStyle name="20% - Accent1 2 2 2 2 2 5 2 2" xfId="30368"/>
    <cellStyle name="20% - Accent1 2 2 2 2 2 5 3" xfId="17443"/>
    <cellStyle name="20% - Accent1 2 2 2 2 2 6" xfId="8835"/>
    <cellStyle name="20% - Accent1 2 2 2 2 2 6 2" xfId="23310"/>
    <cellStyle name="20% - Accent1 2 2 2 2 2 7" xfId="17439"/>
    <cellStyle name="20% - Accent1 2 2 2 2 3" xfId="121"/>
    <cellStyle name="20% - Accent1 2 2 2 2 3 2" xfId="122"/>
    <cellStyle name="20% - Accent1 2 2 2 2 3 2 2" xfId="14583"/>
    <cellStyle name="20% - Accent1 2 2 2 2 3 2 2 2" xfId="28132"/>
    <cellStyle name="20% - Accent1 2 2 2 2 3 2 3" xfId="17445"/>
    <cellStyle name="20% - Accent1 2 2 2 2 3 3" xfId="10559"/>
    <cellStyle name="20% - Accent1 2 2 2 2 3 3 2" xfId="24501"/>
    <cellStyle name="20% - Accent1 2 2 2 2 3 4" xfId="17444"/>
    <cellStyle name="20% - Accent1 2 2 2 2 4" xfId="123"/>
    <cellStyle name="20% - Accent1 2 2 2 2 4 2" xfId="12349"/>
    <cellStyle name="20% - Accent1 2 2 2 2 4 2 2" xfId="26061"/>
    <cellStyle name="20% - Accent1 2 2 2 2 4 3" xfId="17446"/>
    <cellStyle name="20% - Accent1 2 2 2 2 5" xfId="124"/>
    <cellStyle name="20% - Accent1 2 2 2 2 5 2" xfId="12777"/>
    <cellStyle name="20% - Accent1 2 2 2 2 5 2 2" xfId="26489"/>
    <cellStyle name="20% - Accent1 2 2 2 2 5 3" xfId="17447"/>
    <cellStyle name="20% - Accent1 2 2 2 2 6" xfId="125"/>
    <cellStyle name="20% - Accent1 2 2 2 2 6 2" xfId="13913"/>
    <cellStyle name="20% - Accent1 2 2 2 2 6 2 2" xfId="27462"/>
    <cellStyle name="20% - Accent1 2 2 2 2 6 3" xfId="17448"/>
    <cellStyle name="20% - Accent1 2 2 2 2 7" xfId="126"/>
    <cellStyle name="20% - Accent1 2 2 2 2 7 2" xfId="14494"/>
    <cellStyle name="20% - Accent1 2 2 2 2 7 2 2" xfId="28043"/>
    <cellStyle name="20% - Accent1 2 2 2 2 7 3" xfId="17449"/>
    <cellStyle name="20% - Accent1 2 2 2 2 8" xfId="127"/>
    <cellStyle name="20% - Accent1 2 2 2 2 8 2" xfId="14585"/>
    <cellStyle name="20% - Accent1 2 2 2 2 8 2 2" xfId="28134"/>
    <cellStyle name="20% - Accent1 2 2 2 2 8 3" xfId="17450"/>
    <cellStyle name="20% - Accent1 2 2 2 2 9" xfId="128"/>
    <cellStyle name="20% - Accent1 2 2 2 2 9 2" xfId="16380"/>
    <cellStyle name="20% - Accent1 2 2 2 2 9 2 2" xfId="29787"/>
    <cellStyle name="20% - Accent1 2 2 2 2 9 3" xfId="17451"/>
    <cellStyle name="20% - Accent1 2 2 2 3" xfId="129"/>
    <cellStyle name="20% - Accent1 2 2 2 3 2" xfId="130"/>
    <cellStyle name="20% - Accent1 2 2 2 3 2 2" xfId="10561"/>
    <cellStyle name="20% - Accent1 2 2 2 3 2 2 2" xfId="24503"/>
    <cellStyle name="20% - Accent1 2 2 2 3 2 3" xfId="17453"/>
    <cellStyle name="20% - Accent1 2 2 2 3 3" xfId="131"/>
    <cellStyle name="20% - Accent1 2 2 2 3 3 2" xfId="11776"/>
    <cellStyle name="20% - Accent1 2 2 2 3 3 2 2" xfId="25491"/>
    <cellStyle name="20% - Accent1 2 2 2 3 3 3" xfId="17454"/>
    <cellStyle name="20% - Accent1 2 2 2 3 4" xfId="132"/>
    <cellStyle name="20% - Accent1 2 2 2 3 4 2" xfId="14582"/>
    <cellStyle name="20% - Accent1 2 2 2 3 4 2 2" xfId="28131"/>
    <cellStyle name="20% - Accent1 2 2 2 3 4 3" xfId="17455"/>
    <cellStyle name="20% - Accent1 2 2 2 3 5" xfId="133"/>
    <cellStyle name="20% - Accent1 2 2 2 3 5 2" xfId="16672"/>
    <cellStyle name="20% - Accent1 2 2 2 3 5 2 2" xfId="30079"/>
    <cellStyle name="20% - Accent1 2 2 2 3 5 3" xfId="17456"/>
    <cellStyle name="20% - Accent1 2 2 2 3 6" xfId="8836"/>
    <cellStyle name="20% - Accent1 2 2 2 3 6 2" xfId="23311"/>
    <cellStyle name="20% - Accent1 2 2 2 3 7" xfId="17452"/>
    <cellStyle name="20% - Accent1 2 2 2 4" xfId="134"/>
    <cellStyle name="20% - Accent1 2 2 2 4 2" xfId="135"/>
    <cellStyle name="20% - Accent1 2 2 2 4 2 2" xfId="14581"/>
    <cellStyle name="20% - Accent1 2 2 2 4 2 2 2" xfId="28130"/>
    <cellStyle name="20% - Accent1 2 2 2 4 2 3" xfId="17458"/>
    <cellStyle name="20% - Accent1 2 2 2 4 3" xfId="10558"/>
    <cellStyle name="20% - Accent1 2 2 2 4 3 2" xfId="24500"/>
    <cellStyle name="20% - Accent1 2 2 2 4 4" xfId="17457"/>
    <cellStyle name="20% - Accent1 2 2 2 5" xfId="136"/>
    <cellStyle name="20% - Accent1 2 2 2 5 2" xfId="12049"/>
    <cellStyle name="20% - Accent1 2 2 2 5 2 2" xfId="25764"/>
    <cellStyle name="20% - Accent1 2 2 2 5 3" xfId="17459"/>
    <cellStyle name="20% - Accent1 2 2 2 6" xfId="137"/>
    <cellStyle name="20% - Accent1 2 2 2 6 2" xfId="12750"/>
    <cellStyle name="20% - Accent1 2 2 2 6 2 2" xfId="26462"/>
    <cellStyle name="20% - Accent1 2 2 2 6 3" xfId="17460"/>
    <cellStyle name="20% - Accent1 2 2 2 7" xfId="138"/>
    <cellStyle name="20% - Accent1 2 2 2 7 2" xfId="13624"/>
    <cellStyle name="20% - Accent1 2 2 2 7 2 2" xfId="27173"/>
    <cellStyle name="20% - Accent1 2 2 2 7 3" xfId="17461"/>
    <cellStyle name="20% - Accent1 2 2 2 8" xfId="139"/>
    <cellStyle name="20% - Accent1 2 2 2 8 2" xfId="14205"/>
    <cellStyle name="20% - Accent1 2 2 2 8 2 2" xfId="27754"/>
    <cellStyle name="20% - Accent1 2 2 2 8 3" xfId="17462"/>
    <cellStyle name="20% - Accent1 2 2 2 9" xfId="140"/>
    <cellStyle name="20% - Accent1 2 2 2 9 2" xfId="14586"/>
    <cellStyle name="20% - Accent1 2 2 2 9 2 2" xfId="28135"/>
    <cellStyle name="20% - Accent1 2 2 2 9 3" xfId="17463"/>
    <cellStyle name="20% - Accent1 2 2 3" xfId="141"/>
    <cellStyle name="20% - Accent1 2 2 3 10" xfId="8837"/>
    <cellStyle name="20% - Accent1 2 2 3 10 2" xfId="23312"/>
    <cellStyle name="20% - Accent1 2 2 3 11" xfId="17464"/>
    <cellStyle name="20% - Accent1 2 2 3 2" xfId="142"/>
    <cellStyle name="20% - Accent1 2 2 3 2 2" xfId="143"/>
    <cellStyle name="20% - Accent1 2 2 3 2 2 2" xfId="10563"/>
    <cellStyle name="20% - Accent1 2 2 3 2 2 2 2" xfId="24505"/>
    <cellStyle name="20% - Accent1 2 2 3 2 2 3" xfId="17466"/>
    <cellStyle name="20% - Accent1 2 2 3 2 3" xfId="144"/>
    <cellStyle name="20% - Accent1 2 2 3 2 3 2" xfId="12713"/>
    <cellStyle name="20% - Accent1 2 2 3 2 3 2 2" xfId="26425"/>
    <cellStyle name="20% - Accent1 2 2 3 2 3 3" xfId="17467"/>
    <cellStyle name="20% - Accent1 2 2 3 2 4" xfId="145"/>
    <cellStyle name="20% - Accent1 2 2 3 2 4 2" xfId="14579"/>
    <cellStyle name="20% - Accent1 2 2 3 2 4 2 2" xfId="28128"/>
    <cellStyle name="20% - Accent1 2 2 3 2 4 3" xfId="17468"/>
    <cellStyle name="20% - Accent1 2 2 3 2 5" xfId="146"/>
    <cellStyle name="20% - Accent1 2 2 3 2 5 2" xfId="16818"/>
    <cellStyle name="20% - Accent1 2 2 3 2 5 2 2" xfId="30225"/>
    <cellStyle name="20% - Accent1 2 2 3 2 5 3" xfId="17469"/>
    <cellStyle name="20% - Accent1 2 2 3 2 6" xfId="8838"/>
    <cellStyle name="20% - Accent1 2 2 3 2 6 2" xfId="23313"/>
    <cellStyle name="20% - Accent1 2 2 3 2 7" xfId="17465"/>
    <cellStyle name="20% - Accent1 2 2 3 3" xfId="147"/>
    <cellStyle name="20% - Accent1 2 2 3 3 2" xfId="148"/>
    <cellStyle name="20% - Accent1 2 2 3 3 2 2" xfId="14578"/>
    <cellStyle name="20% - Accent1 2 2 3 3 2 2 2" xfId="28127"/>
    <cellStyle name="20% - Accent1 2 2 3 3 2 3" xfId="17471"/>
    <cellStyle name="20% - Accent1 2 2 3 3 3" xfId="10562"/>
    <cellStyle name="20% - Accent1 2 2 3 3 3 2" xfId="24504"/>
    <cellStyle name="20% - Accent1 2 2 3 3 4" xfId="17470"/>
    <cellStyle name="20% - Accent1 2 2 3 4" xfId="149"/>
    <cellStyle name="20% - Accent1 2 2 3 4 2" xfId="12206"/>
    <cellStyle name="20% - Accent1 2 2 3 4 2 2" xfId="25918"/>
    <cellStyle name="20% - Accent1 2 2 3 4 3" xfId="17472"/>
    <cellStyle name="20% - Accent1 2 2 3 5" xfId="150"/>
    <cellStyle name="20% - Accent1 2 2 3 5 2" xfId="12579"/>
    <cellStyle name="20% - Accent1 2 2 3 5 2 2" xfId="26291"/>
    <cellStyle name="20% - Accent1 2 2 3 5 3" xfId="17473"/>
    <cellStyle name="20% - Accent1 2 2 3 6" xfId="151"/>
    <cellStyle name="20% - Accent1 2 2 3 6 2" xfId="13770"/>
    <cellStyle name="20% - Accent1 2 2 3 6 2 2" xfId="27319"/>
    <cellStyle name="20% - Accent1 2 2 3 6 3" xfId="17474"/>
    <cellStyle name="20% - Accent1 2 2 3 7" xfId="152"/>
    <cellStyle name="20% - Accent1 2 2 3 7 2" xfId="14351"/>
    <cellStyle name="20% - Accent1 2 2 3 7 2 2" xfId="27900"/>
    <cellStyle name="20% - Accent1 2 2 3 7 3" xfId="17475"/>
    <cellStyle name="20% - Accent1 2 2 3 8" xfId="153"/>
    <cellStyle name="20% - Accent1 2 2 3 8 2" xfId="14580"/>
    <cellStyle name="20% - Accent1 2 2 3 8 2 2" xfId="28129"/>
    <cellStyle name="20% - Accent1 2 2 3 8 3" xfId="17476"/>
    <cellStyle name="20% - Accent1 2 2 3 9" xfId="154"/>
    <cellStyle name="20% - Accent1 2 2 3 9 2" xfId="16237"/>
    <cellStyle name="20% - Accent1 2 2 3 9 2 2" xfId="29644"/>
    <cellStyle name="20% - Accent1 2 2 3 9 3" xfId="17477"/>
    <cellStyle name="20% - Accent1 2 2 4" xfId="155"/>
    <cellStyle name="20% - Accent1 2 2 4 2" xfId="156"/>
    <cellStyle name="20% - Accent1 2 2 4 2 2" xfId="10564"/>
    <cellStyle name="20% - Accent1 2 2 4 2 2 2" xfId="24506"/>
    <cellStyle name="20% - Accent1 2 2 4 2 3" xfId="17479"/>
    <cellStyle name="20% - Accent1 2 2 4 3" xfId="157"/>
    <cellStyle name="20% - Accent1 2 2 4 3 2" xfId="12115"/>
    <cellStyle name="20% - Accent1 2 2 4 3 2 2" xfId="25827"/>
    <cellStyle name="20% - Accent1 2 2 4 3 3" xfId="17480"/>
    <cellStyle name="20% - Accent1 2 2 4 4" xfId="158"/>
    <cellStyle name="20% - Accent1 2 2 4 4 2" xfId="14577"/>
    <cellStyle name="20% - Accent1 2 2 4 4 2 2" xfId="28126"/>
    <cellStyle name="20% - Accent1 2 2 4 4 3" xfId="17481"/>
    <cellStyle name="20% - Accent1 2 2 4 5" xfId="159"/>
    <cellStyle name="20% - Accent1 2 2 4 5 2" xfId="17165"/>
    <cellStyle name="20% - Accent1 2 2 4 5 2 2" xfId="30524"/>
    <cellStyle name="20% - Accent1 2 2 4 5 3" xfId="17482"/>
    <cellStyle name="20% - Accent1 2 2 4 6" xfId="8839"/>
    <cellStyle name="20% - Accent1 2 2 4 6 2" xfId="23314"/>
    <cellStyle name="20% - Accent1 2 2 4 7" xfId="17478"/>
    <cellStyle name="20% - Accent1 2 2 5" xfId="160"/>
    <cellStyle name="20% - Accent1 2 2 5 2" xfId="161"/>
    <cellStyle name="20% - Accent1 2 2 5 2 2" xfId="14576"/>
    <cellStyle name="20% - Accent1 2 2 5 2 2 2" xfId="28125"/>
    <cellStyle name="20% - Accent1 2 2 5 2 3" xfId="17484"/>
    <cellStyle name="20% - Accent1 2 2 5 3" xfId="162"/>
    <cellStyle name="20% - Accent1 2 2 5 3 2" xfId="17254"/>
    <cellStyle name="20% - Accent1 2 2 5 3 2 2" xfId="30613"/>
    <cellStyle name="20% - Accent1 2 2 5 3 3" xfId="17485"/>
    <cellStyle name="20% - Accent1 2 2 5 4" xfId="10557"/>
    <cellStyle name="20% - Accent1 2 2 5 4 2" xfId="24499"/>
    <cellStyle name="20% - Accent1 2 2 5 5" xfId="17483"/>
    <cellStyle name="20% - Accent1 2 2 6" xfId="163"/>
    <cellStyle name="20% - Accent1 2 2 6 2" xfId="164"/>
    <cellStyle name="20% - Accent1 2 2 6 2 2" xfId="16529"/>
    <cellStyle name="20% - Accent1 2 2 6 2 2 2" xfId="29936"/>
    <cellStyle name="20% - Accent1 2 2 6 2 3" xfId="17487"/>
    <cellStyle name="20% - Accent1 2 2 6 3" xfId="11904"/>
    <cellStyle name="20% - Accent1 2 2 6 3 2" xfId="25619"/>
    <cellStyle name="20% - Accent1 2 2 6 4" xfId="17486"/>
    <cellStyle name="20% - Accent1 2 2 7" xfId="165"/>
    <cellStyle name="20% - Accent1 2 2 7 2" xfId="12416"/>
    <cellStyle name="20% - Accent1 2 2 7 2 2" xfId="26128"/>
    <cellStyle name="20% - Accent1 2 2 7 3" xfId="17488"/>
    <cellStyle name="20% - Accent1 2 2 8" xfId="166"/>
    <cellStyle name="20% - Accent1 2 2 8 2" xfId="13481"/>
    <cellStyle name="20% - Accent1 2 2 8 2 2" xfId="27030"/>
    <cellStyle name="20% - Accent1 2 2 8 3" xfId="17489"/>
    <cellStyle name="20% - Accent1 2 2 9" xfId="167"/>
    <cellStyle name="20% - Accent1 2 2 9 2" xfId="14062"/>
    <cellStyle name="20% - Accent1 2 2 9 2 2" xfId="27611"/>
    <cellStyle name="20% - Accent1 2 2 9 3" xfId="17490"/>
    <cellStyle name="20% - Accent1 2 3" xfId="168"/>
    <cellStyle name="20% - Accent1 2 3 10" xfId="169"/>
    <cellStyle name="20% - Accent1 2 3 10 2" xfId="16045"/>
    <cellStyle name="20% - Accent1 2 3 10 2 2" xfId="29452"/>
    <cellStyle name="20% - Accent1 2 3 10 3" xfId="17492"/>
    <cellStyle name="20% - Accent1 2 3 11" xfId="8840"/>
    <cellStyle name="20% - Accent1 2 3 11 2" xfId="23315"/>
    <cellStyle name="20% - Accent1 2 3 12" xfId="17491"/>
    <cellStyle name="20% - Accent1 2 3 2" xfId="170"/>
    <cellStyle name="20% - Accent1 2 3 2 10" xfId="8841"/>
    <cellStyle name="20% - Accent1 2 3 2 10 2" xfId="23316"/>
    <cellStyle name="20% - Accent1 2 3 2 11" xfId="17493"/>
    <cellStyle name="20% - Accent1 2 3 2 2" xfId="171"/>
    <cellStyle name="20% - Accent1 2 3 2 2 2" xfId="172"/>
    <cellStyle name="20% - Accent1 2 3 2 2 2 2" xfId="10567"/>
    <cellStyle name="20% - Accent1 2 3 2 2 2 2 2" xfId="24509"/>
    <cellStyle name="20% - Accent1 2 3 2 2 2 3" xfId="17495"/>
    <cellStyle name="20% - Accent1 2 3 2 2 3" xfId="173"/>
    <cellStyle name="20% - Accent1 2 3 2 2 3 2" xfId="12431"/>
    <cellStyle name="20% - Accent1 2 3 2 2 3 2 2" xfId="26143"/>
    <cellStyle name="20% - Accent1 2 3 2 2 3 3" xfId="17496"/>
    <cellStyle name="20% - Accent1 2 3 2 2 4" xfId="174"/>
    <cellStyle name="20% - Accent1 2 3 2 2 4 2" xfId="14617"/>
    <cellStyle name="20% - Accent1 2 3 2 2 4 2 2" xfId="28166"/>
    <cellStyle name="20% - Accent1 2 3 2 2 4 3" xfId="17497"/>
    <cellStyle name="20% - Accent1 2 3 2 2 5" xfId="175"/>
    <cellStyle name="20% - Accent1 2 3 2 2 5 2" xfId="16915"/>
    <cellStyle name="20% - Accent1 2 3 2 2 5 2 2" xfId="30322"/>
    <cellStyle name="20% - Accent1 2 3 2 2 5 3" xfId="17498"/>
    <cellStyle name="20% - Accent1 2 3 2 2 6" xfId="8842"/>
    <cellStyle name="20% - Accent1 2 3 2 2 6 2" xfId="23317"/>
    <cellStyle name="20% - Accent1 2 3 2 2 7" xfId="17494"/>
    <cellStyle name="20% - Accent1 2 3 2 3" xfId="176"/>
    <cellStyle name="20% - Accent1 2 3 2 3 2" xfId="177"/>
    <cellStyle name="20% - Accent1 2 3 2 3 2 2" xfId="14575"/>
    <cellStyle name="20% - Accent1 2 3 2 3 2 2 2" xfId="28124"/>
    <cellStyle name="20% - Accent1 2 3 2 3 2 3" xfId="17500"/>
    <cellStyle name="20% - Accent1 2 3 2 3 3" xfId="10566"/>
    <cellStyle name="20% - Accent1 2 3 2 3 3 2" xfId="24508"/>
    <cellStyle name="20% - Accent1 2 3 2 3 4" xfId="17499"/>
    <cellStyle name="20% - Accent1 2 3 2 4" xfId="178"/>
    <cellStyle name="20% - Accent1 2 3 2 4 2" xfId="12303"/>
    <cellStyle name="20% - Accent1 2 3 2 4 2 2" xfId="26015"/>
    <cellStyle name="20% - Accent1 2 3 2 4 3" xfId="17501"/>
    <cellStyle name="20% - Accent1 2 3 2 5" xfId="179"/>
    <cellStyle name="20% - Accent1 2 3 2 5 2" xfId="12542"/>
    <cellStyle name="20% - Accent1 2 3 2 5 2 2" xfId="26254"/>
    <cellStyle name="20% - Accent1 2 3 2 5 3" xfId="17502"/>
    <cellStyle name="20% - Accent1 2 3 2 6" xfId="180"/>
    <cellStyle name="20% - Accent1 2 3 2 6 2" xfId="13867"/>
    <cellStyle name="20% - Accent1 2 3 2 6 2 2" xfId="27416"/>
    <cellStyle name="20% - Accent1 2 3 2 6 3" xfId="17503"/>
    <cellStyle name="20% - Accent1 2 3 2 7" xfId="181"/>
    <cellStyle name="20% - Accent1 2 3 2 7 2" xfId="14448"/>
    <cellStyle name="20% - Accent1 2 3 2 7 2 2" xfId="27997"/>
    <cellStyle name="20% - Accent1 2 3 2 7 3" xfId="17504"/>
    <cellStyle name="20% - Accent1 2 3 2 8" xfId="182"/>
    <cellStyle name="20% - Accent1 2 3 2 8 2" xfId="14615"/>
    <cellStyle name="20% - Accent1 2 3 2 8 2 2" xfId="28164"/>
    <cellStyle name="20% - Accent1 2 3 2 8 3" xfId="17505"/>
    <cellStyle name="20% - Accent1 2 3 2 9" xfId="183"/>
    <cellStyle name="20% - Accent1 2 3 2 9 2" xfId="16334"/>
    <cellStyle name="20% - Accent1 2 3 2 9 2 2" xfId="29741"/>
    <cellStyle name="20% - Accent1 2 3 2 9 3" xfId="17506"/>
    <cellStyle name="20% - Accent1 2 3 3" xfId="184"/>
    <cellStyle name="20% - Accent1 2 3 3 2" xfId="185"/>
    <cellStyle name="20% - Accent1 2 3 3 2 2" xfId="10568"/>
    <cellStyle name="20% - Accent1 2 3 3 2 2 2" xfId="24510"/>
    <cellStyle name="20% - Accent1 2 3 3 2 3" xfId="17508"/>
    <cellStyle name="20% - Accent1 2 3 3 3" xfId="186"/>
    <cellStyle name="20% - Accent1 2 3 3 3 2" xfId="11852"/>
    <cellStyle name="20% - Accent1 2 3 3 3 2 2" xfId="25567"/>
    <cellStyle name="20% - Accent1 2 3 3 3 3" xfId="17509"/>
    <cellStyle name="20% - Accent1 2 3 3 4" xfId="187"/>
    <cellStyle name="20% - Accent1 2 3 3 4 2" xfId="14574"/>
    <cellStyle name="20% - Accent1 2 3 3 4 2 2" xfId="28123"/>
    <cellStyle name="20% - Accent1 2 3 3 4 3" xfId="17510"/>
    <cellStyle name="20% - Accent1 2 3 3 5" xfId="188"/>
    <cellStyle name="20% - Accent1 2 3 3 5 2" xfId="16626"/>
    <cellStyle name="20% - Accent1 2 3 3 5 2 2" xfId="30033"/>
    <cellStyle name="20% - Accent1 2 3 3 5 3" xfId="17511"/>
    <cellStyle name="20% - Accent1 2 3 3 6" xfId="8843"/>
    <cellStyle name="20% - Accent1 2 3 3 6 2" xfId="23318"/>
    <cellStyle name="20% - Accent1 2 3 3 7" xfId="17507"/>
    <cellStyle name="20% - Accent1 2 3 4" xfId="189"/>
    <cellStyle name="20% - Accent1 2 3 4 2" xfId="190"/>
    <cellStyle name="20% - Accent1 2 3 4 2 2" xfId="14573"/>
    <cellStyle name="20% - Accent1 2 3 4 2 2 2" xfId="28122"/>
    <cellStyle name="20% - Accent1 2 3 4 2 3" xfId="17513"/>
    <cellStyle name="20% - Accent1 2 3 4 3" xfId="10565"/>
    <cellStyle name="20% - Accent1 2 3 4 3 2" xfId="24507"/>
    <cellStyle name="20% - Accent1 2 3 4 4" xfId="17512"/>
    <cellStyle name="20% - Accent1 2 3 5" xfId="191"/>
    <cellStyle name="20% - Accent1 2 3 5 2" xfId="12003"/>
    <cellStyle name="20% - Accent1 2 3 5 2 2" xfId="25718"/>
    <cellStyle name="20% - Accent1 2 3 5 3" xfId="17514"/>
    <cellStyle name="20% - Accent1 2 3 6" xfId="192"/>
    <cellStyle name="20% - Accent1 2 3 6 2" xfId="12694"/>
    <cellStyle name="20% - Accent1 2 3 6 2 2" xfId="26406"/>
    <cellStyle name="20% - Accent1 2 3 6 3" xfId="17515"/>
    <cellStyle name="20% - Accent1 2 3 7" xfId="193"/>
    <cellStyle name="20% - Accent1 2 3 7 2" xfId="13578"/>
    <cellStyle name="20% - Accent1 2 3 7 2 2" xfId="27127"/>
    <cellStyle name="20% - Accent1 2 3 7 3" xfId="17516"/>
    <cellStyle name="20% - Accent1 2 3 8" xfId="194"/>
    <cellStyle name="20% - Accent1 2 3 8 2" xfId="14159"/>
    <cellStyle name="20% - Accent1 2 3 8 2 2" xfId="27708"/>
    <cellStyle name="20% - Accent1 2 3 8 3" xfId="17517"/>
    <cellStyle name="20% - Accent1 2 3 9" xfId="195"/>
    <cellStyle name="20% - Accent1 2 3 9 2" xfId="14616"/>
    <cellStyle name="20% - Accent1 2 3 9 2 2" xfId="28165"/>
    <cellStyle name="20% - Accent1 2 3 9 3" xfId="17518"/>
    <cellStyle name="20% - Accent1 2 4" xfId="196"/>
    <cellStyle name="20% - Accent1 2 4 10" xfId="8844"/>
    <cellStyle name="20% - Accent1 2 4 10 2" xfId="23319"/>
    <cellStyle name="20% - Accent1 2 4 11" xfId="17519"/>
    <cellStyle name="20% - Accent1 2 4 2" xfId="197"/>
    <cellStyle name="20% - Accent1 2 4 2 2" xfId="198"/>
    <cellStyle name="20% - Accent1 2 4 2 2 2" xfId="10570"/>
    <cellStyle name="20% - Accent1 2 4 2 2 2 2" xfId="24512"/>
    <cellStyle name="20% - Accent1 2 4 2 2 3" xfId="17521"/>
    <cellStyle name="20% - Accent1 2 4 2 3" xfId="199"/>
    <cellStyle name="20% - Accent1 2 4 2 3 2" xfId="11757"/>
    <cellStyle name="20% - Accent1 2 4 2 3 2 2" xfId="25472"/>
    <cellStyle name="20% - Accent1 2 4 2 3 3" xfId="17522"/>
    <cellStyle name="20% - Accent1 2 4 2 4" xfId="200"/>
    <cellStyle name="20% - Accent1 2 4 2 4 2" xfId="14571"/>
    <cellStyle name="20% - Accent1 2 4 2 4 2 2" xfId="28120"/>
    <cellStyle name="20% - Accent1 2 4 2 4 3" xfId="17523"/>
    <cellStyle name="20% - Accent1 2 4 2 5" xfId="201"/>
    <cellStyle name="20% - Accent1 2 4 2 5 2" xfId="16772"/>
    <cellStyle name="20% - Accent1 2 4 2 5 2 2" xfId="30179"/>
    <cellStyle name="20% - Accent1 2 4 2 5 3" xfId="17524"/>
    <cellStyle name="20% - Accent1 2 4 2 6" xfId="8845"/>
    <cellStyle name="20% - Accent1 2 4 2 6 2" xfId="23320"/>
    <cellStyle name="20% - Accent1 2 4 2 7" xfId="17520"/>
    <cellStyle name="20% - Accent1 2 4 3" xfId="202"/>
    <cellStyle name="20% - Accent1 2 4 3 2" xfId="203"/>
    <cellStyle name="20% - Accent1 2 4 3 2 2" xfId="14570"/>
    <cellStyle name="20% - Accent1 2 4 3 2 2 2" xfId="28119"/>
    <cellStyle name="20% - Accent1 2 4 3 2 3" xfId="17526"/>
    <cellStyle name="20% - Accent1 2 4 3 3" xfId="10569"/>
    <cellStyle name="20% - Accent1 2 4 3 3 2" xfId="24511"/>
    <cellStyle name="20% - Accent1 2 4 3 4" xfId="17525"/>
    <cellStyle name="20% - Accent1 2 4 4" xfId="204"/>
    <cellStyle name="20% - Accent1 2 4 4 2" xfId="12160"/>
    <cellStyle name="20% - Accent1 2 4 4 2 2" xfId="25872"/>
    <cellStyle name="20% - Accent1 2 4 4 3" xfId="17527"/>
    <cellStyle name="20% - Accent1 2 4 5" xfId="205"/>
    <cellStyle name="20% - Accent1 2 4 5 2" xfId="12509"/>
    <cellStyle name="20% - Accent1 2 4 5 2 2" xfId="26221"/>
    <cellStyle name="20% - Accent1 2 4 5 3" xfId="17528"/>
    <cellStyle name="20% - Accent1 2 4 6" xfId="206"/>
    <cellStyle name="20% - Accent1 2 4 6 2" xfId="13724"/>
    <cellStyle name="20% - Accent1 2 4 6 2 2" xfId="27273"/>
    <cellStyle name="20% - Accent1 2 4 6 3" xfId="17529"/>
    <cellStyle name="20% - Accent1 2 4 7" xfId="207"/>
    <cellStyle name="20% - Accent1 2 4 7 2" xfId="14305"/>
    <cellStyle name="20% - Accent1 2 4 7 2 2" xfId="27854"/>
    <cellStyle name="20% - Accent1 2 4 7 3" xfId="17530"/>
    <cellStyle name="20% - Accent1 2 4 8" xfId="208"/>
    <cellStyle name="20% - Accent1 2 4 8 2" xfId="14572"/>
    <cellStyle name="20% - Accent1 2 4 8 2 2" xfId="28121"/>
    <cellStyle name="20% - Accent1 2 4 8 3" xfId="17531"/>
    <cellStyle name="20% - Accent1 2 4 9" xfId="209"/>
    <cellStyle name="20% - Accent1 2 4 9 2" xfId="16191"/>
    <cellStyle name="20% - Accent1 2 4 9 2 2" xfId="29598"/>
    <cellStyle name="20% - Accent1 2 4 9 3" xfId="17532"/>
    <cellStyle name="20% - Accent1 2 5" xfId="210"/>
    <cellStyle name="20% - Accent1 2 5 2" xfId="211"/>
    <cellStyle name="20% - Accent1 2 5 2 2" xfId="212"/>
    <cellStyle name="20% - Accent1 2 5 2 2 2" xfId="10572"/>
    <cellStyle name="20% - Accent1 2 5 2 2 2 2" xfId="24514"/>
    <cellStyle name="20% - Accent1 2 5 2 2 3" xfId="17535"/>
    <cellStyle name="20% - Accent1 2 5 2 3" xfId="213"/>
    <cellStyle name="20% - Accent1 2 5 2 3 2" xfId="12681"/>
    <cellStyle name="20% - Accent1 2 5 2 3 2 2" xfId="26393"/>
    <cellStyle name="20% - Accent1 2 5 2 3 3" xfId="17536"/>
    <cellStyle name="20% - Accent1 2 5 2 4" xfId="214"/>
    <cellStyle name="20% - Accent1 2 5 2 4 2" xfId="14568"/>
    <cellStyle name="20% - Accent1 2 5 2 4 2 2" xfId="28117"/>
    <cellStyle name="20% - Accent1 2 5 2 4 3" xfId="17537"/>
    <cellStyle name="20% - Accent1 2 5 2 5" xfId="8847"/>
    <cellStyle name="20% - Accent1 2 5 2 5 2" xfId="23322"/>
    <cellStyle name="20% - Accent1 2 5 2 6" xfId="17534"/>
    <cellStyle name="20% - Accent1 2 5 3" xfId="215"/>
    <cellStyle name="20% - Accent1 2 5 3 2" xfId="10571"/>
    <cellStyle name="20% - Accent1 2 5 3 2 2" xfId="24513"/>
    <cellStyle name="20% - Accent1 2 5 3 3" xfId="17538"/>
    <cellStyle name="20% - Accent1 2 5 4" xfId="216"/>
    <cellStyle name="20% - Accent1 2 5 4 2" xfId="12591"/>
    <cellStyle name="20% - Accent1 2 5 4 2 2" xfId="26303"/>
    <cellStyle name="20% - Accent1 2 5 4 3" xfId="17539"/>
    <cellStyle name="20% - Accent1 2 5 5" xfId="217"/>
    <cellStyle name="20% - Accent1 2 5 5 2" xfId="14569"/>
    <cellStyle name="20% - Accent1 2 5 5 2 2" xfId="28118"/>
    <cellStyle name="20% - Accent1 2 5 5 3" xfId="17540"/>
    <cellStyle name="20% - Accent1 2 5 6" xfId="218"/>
    <cellStyle name="20% - Accent1 2 5 6 2" xfId="17007"/>
    <cellStyle name="20% - Accent1 2 5 6 2 2" xfId="30414"/>
    <cellStyle name="20% - Accent1 2 5 6 3" xfId="17541"/>
    <cellStyle name="20% - Accent1 2 5 7" xfId="8846"/>
    <cellStyle name="20% - Accent1 2 5 7 2" xfId="23321"/>
    <cellStyle name="20% - Accent1 2 5 8" xfId="17533"/>
    <cellStyle name="20% - Accent1 2 6" xfId="219"/>
    <cellStyle name="20% - Accent1 2 6 2" xfId="220"/>
    <cellStyle name="20% - Accent1 2 6 2 2" xfId="10573"/>
    <cellStyle name="20% - Accent1 2 6 2 2 2" xfId="24515"/>
    <cellStyle name="20% - Accent1 2 6 2 3" xfId="17543"/>
    <cellStyle name="20% - Accent1 2 6 3" xfId="221"/>
    <cellStyle name="20% - Accent1 2 6 3 2" xfId="11758"/>
    <cellStyle name="20% - Accent1 2 6 3 2 2" xfId="25473"/>
    <cellStyle name="20% - Accent1 2 6 3 3" xfId="17544"/>
    <cellStyle name="20% - Accent1 2 6 4" xfId="222"/>
    <cellStyle name="20% - Accent1 2 6 4 2" xfId="14567"/>
    <cellStyle name="20% - Accent1 2 6 4 2 2" xfId="28116"/>
    <cellStyle name="20% - Accent1 2 6 4 3" xfId="17545"/>
    <cellStyle name="20% - Accent1 2 6 5" xfId="223"/>
    <cellStyle name="20% - Accent1 2 6 5 2" xfId="17119"/>
    <cellStyle name="20% - Accent1 2 6 5 2 2" xfId="30478"/>
    <cellStyle name="20% - Accent1 2 6 5 3" xfId="17546"/>
    <cellStyle name="20% - Accent1 2 6 6" xfId="8848"/>
    <cellStyle name="20% - Accent1 2 6 6 2" xfId="23323"/>
    <cellStyle name="20% - Accent1 2 6 7" xfId="17542"/>
    <cellStyle name="20% - Accent1 2 7" xfId="224"/>
    <cellStyle name="20% - Accent1 2 7 2" xfId="225"/>
    <cellStyle name="20% - Accent1 2 7 2 2" xfId="10574"/>
    <cellStyle name="20% - Accent1 2 7 2 2 2" xfId="24516"/>
    <cellStyle name="20% - Accent1 2 7 2 3" xfId="17548"/>
    <cellStyle name="20% - Accent1 2 7 3" xfId="226"/>
    <cellStyle name="20% - Accent1 2 7 3 2" xfId="12419"/>
    <cellStyle name="20% - Accent1 2 7 3 2 2" xfId="26131"/>
    <cellStyle name="20% - Accent1 2 7 3 3" xfId="17549"/>
    <cellStyle name="20% - Accent1 2 7 4" xfId="227"/>
    <cellStyle name="20% - Accent1 2 7 4 2" xfId="14566"/>
    <cellStyle name="20% - Accent1 2 7 4 2 2" xfId="28115"/>
    <cellStyle name="20% - Accent1 2 7 4 3" xfId="17550"/>
    <cellStyle name="20% - Accent1 2 7 5" xfId="228"/>
    <cellStyle name="20% - Accent1 2 7 5 2" xfId="17208"/>
    <cellStyle name="20% - Accent1 2 7 5 2 2" xfId="30567"/>
    <cellStyle name="20% - Accent1 2 7 5 3" xfId="17551"/>
    <cellStyle name="20% - Accent1 2 7 6" xfId="8849"/>
    <cellStyle name="20% - Accent1 2 7 6 2" xfId="23324"/>
    <cellStyle name="20% - Accent1 2 7 7" xfId="17547"/>
    <cellStyle name="20% - Accent1 2 8" xfId="229"/>
    <cellStyle name="20% - Accent1 2 8 2" xfId="230"/>
    <cellStyle name="20% - Accent1 2 8 2 2" xfId="12482"/>
    <cellStyle name="20% - Accent1 2 8 2 2 2" xfId="26194"/>
    <cellStyle name="20% - Accent1 2 8 2 3" xfId="17553"/>
    <cellStyle name="20% - Accent1 2 8 3" xfId="231"/>
    <cellStyle name="20% - Accent1 2 8 3 2" xfId="14565"/>
    <cellStyle name="20% - Accent1 2 8 3 2 2" xfId="28114"/>
    <cellStyle name="20% - Accent1 2 8 3 3" xfId="17554"/>
    <cellStyle name="20% - Accent1 2 8 4" xfId="232"/>
    <cellStyle name="20% - Accent1 2 8 4 2" xfId="16483"/>
    <cellStyle name="20% - Accent1 2 8 4 2 2" xfId="29890"/>
    <cellStyle name="20% - Accent1 2 8 4 3" xfId="17555"/>
    <cellStyle name="20% - Accent1 2 8 5" xfId="10528"/>
    <cellStyle name="20% - Accent1 2 8 5 2" xfId="24470"/>
    <cellStyle name="20% - Accent1 2 8 6" xfId="17552"/>
    <cellStyle name="20% - Accent1 2 9" xfId="233"/>
    <cellStyle name="20% - Accent1 2 9 2" xfId="234"/>
    <cellStyle name="20% - Accent1 2 9 2 2" xfId="12644"/>
    <cellStyle name="20% - Accent1 2 9 2 2 2" xfId="26356"/>
    <cellStyle name="20% - Accent1 2 9 2 3" xfId="17557"/>
    <cellStyle name="20% - Accent1 2 9 3" xfId="235"/>
    <cellStyle name="20% - Accent1 2 9 3 2" xfId="14564"/>
    <cellStyle name="20% - Accent1 2 9 3 2 2" xfId="28113"/>
    <cellStyle name="20% - Accent1 2 9 3 3" xfId="17558"/>
    <cellStyle name="20% - Accent1 2 9 4" xfId="10556"/>
    <cellStyle name="20% - Accent1 2 9 4 2" xfId="24498"/>
    <cellStyle name="20% - Accent1 2 9 5" xfId="17556"/>
    <cellStyle name="20% - Accent1 20" xfId="236"/>
    <cellStyle name="20% - Accent1 20 2" xfId="237"/>
    <cellStyle name="20% - Accent1 20 2 2" xfId="12477"/>
    <cellStyle name="20% - Accent1 20 2 2 2" xfId="26189"/>
    <cellStyle name="20% - Accent1 20 2 3" xfId="17560"/>
    <cellStyle name="20% - Accent1 20 3" xfId="238"/>
    <cellStyle name="20% - Accent1 20 3 2" xfId="14563"/>
    <cellStyle name="20% - Accent1 20 3 2 2" xfId="28112"/>
    <cellStyle name="20% - Accent1 20 3 3" xfId="17561"/>
    <cellStyle name="20% - Accent1 20 4" xfId="10503"/>
    <cellStyle name="20% - Accent1 20 4 2" xfId="24451"/>
    <cellStyle name="20% - Accent1 20 5" xfId="17559"/>
    <cellStyle name="20% - Accent1 21" xfId="239"/>
    <cellStyle name="20% - Accent1 21 2" xfId="240"/>
    <cellStyle name="20% - Accent1 21 2 2" xfId="12766"/>
    <cellStyle name="20% - Accent1 21 2 2 2" xfId="26478"/>
    <cellStyle name="20% - Accent1 21 2 3" xfId="17563"/>
    <cellStyle name="20% - Accent1 21 3" xfId="241"/>
    <cellStyle name="20% - Accent1 21 3 2" xfId="14562"/>
    <cellStyle name="20% - Accent1 21 3 2 2" xfId="28111"/>
    <cellStyle name="20% - Accent1 21 3 3" xfId="17564"/>
    <cellStyle name="20% - Accent1 21 4" xfId="10545"/>
    <cellStyle name="20% - Accent1 21 4 2" xfId="24487"/>
    <cellStyle name="20% - Accent1 21 5" xfId="17562"/>
    <cellStyle name="20% - Accent1 22" xfId="242"/>
    <cellStyle name="20% - Accent1 22 2" xfId="11739"/>
    <cellStyle name="20% - Accent1 22 2 2" xfId="25454"/>
    <cellStyle name="20% - Accent1 22 3" xfId="17565"/>
    <cellStyle name="20% - Accent1 23" xfId="243"/>
    <cellStyle name="20% - Accent1 23 2" xfId="12680"/>
    <cellStyle name="20% - Accent1 23 2 2" xfId="26392"/>
    <cellStyle name="20% - Accent1 23 3" xfId="17566"/>
    <cellStyle name="20% - Accent1 24" xfId="244"/>
    <cellStyle name="20% - Accent1 24 2" xfId="13378"/>
    <cellStyle name="20% - Accent1 24 2 2" xfId="26927"/>
    <cellStyle name="20% - Accent1 24 3" xfId="17567"/>
    <cellStyle name="20% - Accent1 25" xfId="245"/>
    <cellStyle name="20% - Accent1 25 2" xfId="13959"/>
    <cellStyle name="20% - Accent1 25 2 2" xfId="27508"/>
    <cellStyle name="20% - Accent1 25 3" xfId="17568"/>
    <cellStyle name="20% - Accent1 26" xfId="246"/>
    <cellStyle name="20% - Accent1 26 2" xfId="14601"/>
    <cellStyle name="20% - Accent1 26 2 2" xfId="28150"/>
    <cellStyle name="20% - Accent1 26 3" xfId="17569"/>
    <cellStyle name="20% - Accent1 27" xfId="247"/>
    <cellStyle name="20% - Accent1 27 2" xfId="15840"/>
    <cellStyle name="20% - Accent1 27 2 2" xfId="29247"/>
    <cellStyle name="20% - Accent1 27 3" xfId="17570"/>
    <cellStyle name="20% - Accent1 28" xfId="248"/>
    <cellStyle name="20% - Accent1 28 2" xfId="15845"/>
    <cellStyle name="20% - Accent1 28 2 2" xfId="29252"/>
    <cellStyle name="20% - Accent1 28 3" xfId="17571"/>
    <cellStyle name="20% - Accent1 29" xfId="249"/>
    <cellStyle name="20% - Accent1 29 2" xfId="8820"/>
    <cellStyle name="20% - Accent1 29 2 2" xfId="23295"/>
    <cellStyle name="20% - Accent1 29 3" xfId="17572"/>
    <cellStyle name="20% - Accent1 3" xfId="250"/>
    <cellStyle name="20% - Accent1 3 10" xfId="251"/>
    <cellStyle name="20% - Accent1 3 10 2" xfId="14039"/>
    <cellStyle name="20% - Accent1 3 10 2 2" xfId="27588"/>
    <cellStyle name="20% - Accent1 3 10 3" xfId="17574"/>
    <cellStyle name="20% - Accent1 3 11" xfId="252"/>
    <cellStyle name="20% - Accent1 3 11 2" xfId="14561"/>
    <cellStyle name="20% - Accent1 3 11 2 2" xfId="28110"/>
    <cellStyle name="20% - Accent1 3 11 3" xfId="17575"/>
    <cellStyle name="20% - Accent1 3 12" xfId="253"/>
    <cellStyle name="20% - Accent1 3 12 2" xfId="15925"/>
    <cellStyle name="20% - Accent1 3 12 2 2" xfId="29332"/>
    <cellStyle name="20% - Accent1 3 12 3" xfId="17576"/>
    <cellStyle name="20% - Accent1 3 13" xfId="8850"/>
    <cellStyle name="20% - Accent1 3 13 2" xfId="23325"/>
    <cellStyle name="20% - Accent1 3 14" xfId="17573"/>
    <cellStyle name="20% - Accent1 3 2" xfId="254"/>
    <cellStyle name="20% - Accent1 3 2 10" xfId="255"/>
    <cellStyle name="20% - Accent1 3 2 10 2" xfId="16068"/>
    <cellStyle name="20% - Accent1 3 2 10 2 2" xfId="29475"/>
    <cellStyle name="20% - Accent1 3 2 10 3" xfId="17578"/>
    <cellStyle name="20% - Accent1 3 2 11" xfId="8851"/>
    <cellStyle name="20% - Accent1 3 2 11 2" xfId="23326"/>
    <cellStyle name="20% - Accent1 3 2 12" xfId="17577"/>
    <cellStyle name="20% - Accent1 3 2 2" xfId="256"/>
    <cellStyle name="20% - Accent1 3 2 2 10" xfId="8852"/>
    <cellStyle name="20% - Accent1 3 2 2 10 2" xfId="23327"/>
    <cellStyle name="20% - Accent1 3 2 2 11" xfId="17579"/>
    <cellStyle name="20% - Accent1 3 2 2 2" xfId="257"/>
    <cellStyle name="20% - Accent1 3 2 2 2 2" xfId="258"/>
    <cellStyle name="20% - Accent1 3 2 2 2 2 2" xfId="10578"/>
    <cellStyle name="20% - Accent1 3 2 2 2 2 2 2" xfId="24520"/>
    <cellStyle name="20% - Accent1 3 2 2 2 2 3" xfId="17581"/>
    <cellStyle name="20% - Accent1 3 2 2 2 3" xfId="259"/>
    <cellStyle name="20% - Accent1 3 2 2 2 3 2" xfId="12594"/>
    <cellStyle name="20% - Accent1 3 2 2 2 3 2 2" xfId="26306"/>
    <cellStyle name="20% - Accent1 3 2 2 2 3 3" xfId="17582"/>
    <cellStyle name="20% - Accent1 3 2 2 2 4" xfId="260"/>
    <cellStyle name="20% - Accent1 3 2 2 2 4 2" xfId="14558"/>
    <cellStyle name="20% - Accent1 3 2 2 2 4 2 2" xfId="28107"/>
    <cellStyle name="20% - Accent1 3 2 2 2 4 3" xfId="17583"/>
    <cellStyle name="20% - Accent1 3 2 2 2 5" xfId="261"/>
    <cellStyle name="20% - Accent1 3 2 2 2 5 2" xfId="16938"/>
    <cellStyle name="20% - Accent1 3 2 2 2 5 2 2" xfId="30345"/>
    <cellStyle name="20% - Accent1 3 2 2 2 5 3" xfId="17584"/>
    <cellStyle name="20% - Accent1 3 2 2 2 6" xfId="8853"/>
    <cellStyle name="20% - Accent1 3 2 2 2 6 2" xfId="23328"/>
    <cellStyle name="20% - Accent1 3 2 2 2 7" xfId="17580"/>
    <cellStyle name="20% - Accent1 3 2 2 3" xfId="262"/>
    <cellStyle name="20% - Accent1 3 2 2 3 2" xfId="263"/>
    <cellStyle name="20% - Accent1 3 2 2 3 2 2" xfId="14557"/>
    <cellStyle name="20% - Accent1 3 2 2 3 2 2 2" xfId="28106"/>
    <cellStyle name="20% - Accent1 3 2 2 3 2 3" xfId="17586"/>
    <cellStyle name="20% - Accent1 3 2 2 3 3" xfId="10577"/>
    <cellStyle name="20% - Accent1 3 2 2 3 3 2" xfId="24519"/>
    <cellStyle name="20% - Accent1 3 2 2 3 4" xfId="17585"/>
    <cellStyle name="20% - Accent1 3 2 2 4" xfId="264"/>
    <cellStyle name="20% - Accent1 3 2 2 4 2" xfId="12326"/>
    <cellStyle name="20% - Accent1 3 2 2 4 2 2" xfId="26038"/>
    <cellStyle name="20% - Accent1 3 2 2 4 3" xfId="17587"/>
    <cellStyle name="20% - Accent1 3 2 2 5" xfId="265"/>
    <cellStyle name="20% - Accent1 3 2 2 5 2" xfId="12526"/>
    <cellStyle name="20% - Accent1 3 2 2 5 2 2" xfId="26238"/>
    <cellStyle name="20% - Accent1 3 2 2 5 3" xfId="17588"/>
    <cellStyle name="20% - Accent1 3 2 2 6" xfId="266"/>
    <cellStyle name="20% - Accent1 3 2 2 6 2" xfId="13890"/>
    <cellStyle name="20% - Accent1 3 2 2 6 2 2" xfId="27439"/>
    <cellStyle name="20% - Accent1 3 2 2 6 3" xfId="17589"/>
    <cellStyle name="20% - Accent1 3 2 2 7" xfId="267"/>
    <cellStyle name="20% - Accent1 3 2 2 7 2" xfId="14471"/>
    <cellStyle name="20% - Accent1 3 2 2 7 2 2" xfId="28020"/>
    <cellStyle name="20% - Accent1 3 2 2 7 3" xfId="17590"/>
    <cellStyle name="20% - Accent1 3 2 2 8" xfId="268"/>
    <cellStyle name="20% - Accent1 3 2 2 8 2" xfId="14559"/>
    <cellStyle name="20% - Accent1 3 2 2 8 2 2" xfId="28108"/>
    <cellStyle name="20% - Accent1 3 2 2 8 3" xfId="17591"/>
    <cellStyle name="20% - Accent1 3 2 2 9" xfId="269"/>
    <cellStyle name="20% - Accent1 3 2 2 9 2" xfId="16357"/>
    <cellStyle name="20% - Accent1 3 2 2 9 2 2" xfId="29764"/>
    <cellStyle name="20% - Accent1 3 2 2 9 3" xfId="17592"/>
    <cellStyle name="20% - Accent1 3 2 3" xfId="270"/>
    <cellStyle name="20% - Accent1 3 2 3 2" xfId="271"/>
    <cellStyle name="20% - Accent1 3 2 3 2 2" xfId="10579"/>
    <cellStyle name="20% - Accent1 3 2 3 2 2 2" xfId="24521"/>
    <cellStyle name="20% - Accent1 3 2 3 2 3" xfId="17594"/>
    <cellStyle name="20% - Accent1 3 2 3 3" xfId="272"/>
    <cellStyle name="20% - Accent1 3 2 3 3 2" xfId="12597"/>
    <cellStyle name="20% - Accent1 3 2 3 3 2 2" xfId="26309"/>
    <cellStyle name="20% - Accent1 3 2 3 3 3" xfId="17595"/>
    <cellStyle name="20% - Accent1 3 2 3 4" xfId="273"/>
    <cellStyle name="20% - Accent1 3 2 3 4 2" xfId="14556"/>
    <cellStyle name="20% - Accent1 3 2 3 4 2 2" xfId="28105"/>
    <cellStyle name="20% - Accent1 3 2 3 4 3" xfId="17596"/>
    <cellStyle name="20% - Accent1 3 2 3 5" xfId="274"/>
    <cellStyle name="20% - Accent1 3 2 3 5 2" xfId="16649"/>
    <cellStyle name="20% - Accent1 3 2 3 5 2 2" xfId="30056"/>
    <cellStyle name="20% - Accent1 3 2 3 5 3" xfId="17597"/>
    <cellStyle name="20% - Accent1 3 2 3 6" xfId="8854"/>
    <cellStyle name="20% - Accent1 3 2 3 6 2" xfId="23329"/>
    <cellStyle name="20% - Accent1 3 2 3 7" xfId="17593"/>
    <cellStyle name="20% - Accent1 3 2 4" xfId="275"/>
    <cellStyle name="20% - Accent1 3 2 4 2" xfId="276"/>
    <cellStyle name="20% - Accent1 3 2 4 2 2" xfId="14618"/>
    <cellStyle name="20% - Accent1 3 2 4 2 2 2" xfId="28167"/>
    <cellStyle name="20% - Accent1 3 2 4 2 3" xfId="17599"/>
    <cellStyle name="20% - Accent1 3 2 4 3" xfId="10576"/>
    <cellStyle name="20% - Accent1 3 2 4 3 2" xfId="24518"/>
    <cellStyle name="20% - Accent1 3 2 4 4" xfId="17598"/>
    <cellStyle name="20% - Accent1 3 2 5" xfId="277"/>
    <cellStyle name="20% - Accent1 3 2 5 2" xfId="12026"/>
    <cellStyle name="20% - Accent1 3 2 5 2 2" xfId="25741"/>
    <cellStyle name="20% - Accent1 3 2 5 3" xfId="17600"/>
    <cellStyle name="20% - Accent1 3 2 6" xfId="278"/>
    <cellStyle name="20% - Accent1 3 2 6 2" xfId="12442"/>
    <cellStyle name="20% - Accent1 3 2 6 2 2" xfId="26154"/>
    <cellStyle name="20% - Accent1 3 2 6 3" xfId="17601"/>
    <cellStyle name="20% - Accent1 3 2 7" xfId="279"/>
    <cellStyle name="20% - Accent1 3 2 7 2" xfId="13601"/>
    <cellStyle name="20% - Accent1 3 2 7 2 2" xfId="27150"/>
    <cellStyle name="20% - Accent1 3 2 7 3" xfId="17602"/>
    <cellStyle name="20% - Accent1 3 2 8" xfId="280"/>
    <cellStyle name="20% - Accent1 3 2 8 2" xfId="14182"/>
    <cellStyle name="20% - Accent1 3 2 8 2 2" xfId="27731"/>
    <cellStyle name="20% - Accent1 3 2 8 3" xfId="17603"/>
    <cellStyle name="20% - Accent1 3 2 9" xfId="281"/>
    <cellStyle name="20% - Accent1 3 2 9 2" xfId="14560"/>
    <cellStyle name="20% - Accent1 3 2 9 2 2" xfId="28109"/>
    <cellStyle name="20% - Accent1 3 2 9 3" xfId="17604"/>
    <cellStyle name="20% - Accent1 3 3" xfId="282"/>
    <cellStyle name="20% - Accent1 3 3 10" xfId="8855"/>
    <cellStyle name="20% - Accent1 3 3 10 2" xfId="23330"/>
    <cellStyle name="20% - Accent1 3 3 11" xfId="17605"/>
    <cellStyle name="20% - Accent1 3 3 2" xfId="283"/>
    <cellStyle name="20% - Accent1 3 3 2 2" xfId="284"/>
    <cellStyle name="20% - Accent1 3 3 2 2 2" xfId="10581"/>
    <cellStyle name="20% - Accent1 3 3 2 2 2 2" xfId="24523"/>
    <cellStyle name="20% - Accent1 3 3 2 2 3" xfId="17607"/>
    <cellStyle name="20% - Accent1 3 3 2 3" xfId="285"/>
    <cellStyle name="20% - Accent1 3 3 2 3 2" xfId="12470"/>
    <cellStyle name="20% - Accent1 3 3 2 3 2 2" xfId="26182"/>
    <cellStyle name="20% - Accent1 3 3 2 3 3" xfId="17608"/>
    <cellStyle name="20% - Accent1 3 3 2 4" xfId="286"/>
    <cellStyle name="20% - Accent1 3 3 2 4 2" xfId="14602"/>
    <cellStyle name="20% - Accent1 3 3 2 4 2 2" xfId="28151"/>
    <cellStyle name="20% - Accent1 3 3 2 4 3" xfId="17609"/>
    <cellStyle name="20% - Accent1 3 3 2 5" xfId="287"/>
    <cellStyle name="20% - Accent1 3 3 2 5 2" xfId="16795"/>
    <cellStyle name="20% - Accent1 3 3 2 5 2 2" xfId="30202"/>
    <cellStyle name="20% - Accent1 3 3 2 5 3" xfId="17610"/>
    <cellStyle name="20% - Accent1 3 3 2 6" xfId="8856"/>
    <cellStyle name="20% - Accent1 3 3 2 6 2" xfId="23331"/>
    <cellStyle name="20% - Accent1 3 3 2 7" xfId="17606"/>
    <cellStyle name="20% - Accent1 3 3 3" xfId="288"/>
    <cellStyle name="20% - Accent1 3 3 3 2" xfId="289"/>
    <cellStyle name="20% - Accent1 3 3 3 2 2" xfId="14603"/>
    <cellStyle name="20% - Accent1 3 3 3 2 2 2" xfId="28152"/>
    <cellStyle name="20% - Accent1 3 3 3 2 3" xfId="17612"/>
    <cellStyle name="20% - Accent1 3 3 3 3" xfId="10580"/>
    <cellStyle name="20% - Accent1 3 3 3 3 2" xfId="24522"/>
    <cellStyle name="20% - Accent1 3 3 3 4" xfId="17611"/>
    <cellStyle name="20% - Accent1 3 3 4" xfId="290"/>
    <cellStyle name="20% - Accent1 3 3 4 2" xfId="12183"/>
    <cellStyle name="20% - Accent1 3 3 4 2 2" xfId="25895"/>
    <cellStyle name="20% - Accent1 3 3 4 3" xfId="17613"/>
    <cellStyle name="20% - Accent1 3 3 5" xfId="291"/>
    <cellStyle name="20% - Accent1 3 3 5 2" xfId="12687"/>
    <cellStyle name="20% - Accent1 3 3 5 2 2" xfId="26399"/>
    <cellStyle name="20% - Accent1 3 3 5 3" xfId="17614"/>
    <cellStyle name="20% - Accent1 3 3 6" xfId="292"/>
    <cellStyle name="20% - Accent1 3 3 6 2" xfId="13747"/>
    <cellStyle name="20% - Accent1 3 3 6 2 2" xfId="27296"/>
    <cellStyle name="20% - Accent1 3 3 6 3" xfId="17615"/>
    <cellStyle name="20% - Accent1 3 3 7" xfId="293"/>
    <cellStyle name="20% - Accent1 3 3 7 2" xfId="14328"/>
    <cellStyle name="20% - Accent1 3 3 7 2 2" xfId="27877"/>
    <cellStyle name="20% - Accent1 3 3 7 3" xfId="17616"/>
    <cellStyle name="20% - Accent1 3 3 8" xfId="294"/>
    <cellStyle name="20% - Accent1 3 3 8 2" xfId="14555"/>
    <cellStyle name="20% - Accent1 3 3 8 2 2" xfId="28104"/>
    <cellStyle name="20% - Accent1 3 3 8 3" xfId="17617"/>
    <cellStyle name="20% - Accent1 3 3 9" xfId="295"/>
    <cellStyle name="20% - Accent1 3 3 9 2" xfId="16214"/>
    <cellStyle name="20% - Accent1 3 3 9 2 2" xfId="29621"/>
    <cellStyle name="20% - Accent1 3 3 9 3" xfId="17618"/>
    <cellStyle name="20% - Accent1 3 4" xfId="296"/>
    <cellStyle name="20% - Accent1 3 4 2" xfId="297"/>
    <cellStyle name="20% - Accent1 3 4 2 2" xfId="10582"/>
    <cellStyle name="20% - Accent1 3 4 2 2 2" xfId="24524"/>
    <cellStyle name="20% - Accent1 3 4 2 3" xfId="17620"/>
    <cellStyle name="20% - Accent1 3 4 3" xfId="298"/>
    <cellStyle name="20% - Accent1 3 4 3 2" xfId="11783"/>
    <cellStyle name="20% - Accent1 3 4 3 2 2" xfId="25498"/>
    <cellStyle name="20% - Accent1 3 4 3 3" xfId="17621"/>
    <cellStyle name="20% - Accent1 3 4 4" xfId="299"/>
    <cellStyle name="20% - Accent1 3 4 4 2" xfId="14554"/>
    <cellStyle name="20% - Accent1 3 4 4 2 2" xfId="28103"/>
    <cellStyle name="20% - Accent1 3 4 4 3" xfId="17622"/>
    <cellStyle name="20% - Accent1 3 4 5" xfId="300"/>
    <cellStyle name="20% - Accent1 3 4 5 2" xfId="17142"/>
    <cellStyle name="20% - Accent1 3 4 5 2 2" xfId="30501"/>
    <cellStyle name="20% - Accent1 3 4 5 3" xfId="17623"/>
    <cellStyle name="20% - Accent1 3 4 6" xfId="8857"/>
    <cellStyle name="20% - Accent1 3 4 6 2" xfId="23332"/>
    <cellStyle name="20% - Accent1 3 4 7" xfId="17619"/>
    <cellStyle name="20% - Accent1 3 5" xfId="301"/>
    <cellStyle name="20% - Accent1 3 5 2" xfId="302"/>
    <cellStyle name="20% - Accent1 3 5 2 2" xfId="10583"/>
    <cellStyle name="20% - Accent1 3 5 2 2 2" xfId="24525"/>
    <cellStyle name="20% - Accent1 3 5 2 3" xfId="17625"/>
    <cellStyle name="20% - Accent1 3 5 3" xfId="303"/>
    <cellStyle name="20% - Accent1 3 5 3 2" xfId="12710"/>
    <cellStyle name="20% - Accent1 3 5 3 2 2" xfId="26422"/>
    <cellStyle name="20% - Accent1 3 5 3 3" xfId="17626"/>
    <cellStyle name="20% - Accent1 3 5 4" xfId="304"/>
    <cellStyle name="20% - Accent1 3 5 4 2" xfId="14553"/>
    <cellStyle name="20% - Accent1 3 5 4 2 2" xfId="28102"/>
    <cellStyle name="20% - Accent1 3 5 4 3" xfId="17627"/>
    <cellStyle name="20% - Accent1 3 5 5" xfId="305"/>
    <cellStyle name="20% - Accent1 3 5 5 2" xfId="17231"/>
    <cellStyle name="20% - Accent1 3 5 5 2 2" xfId="30590"/>
    <cellStyle name="20% - Accent1 3 5 5 3" xfId="17628"/>
    <cellStyle name="20% - Accent1 3 5 6" xfId="8858"/>
    <cellStyle name="20% - Accent1 3 5 6 2" xfId="23333"/>
    <cellStyle name="20% - Accent1 3 5 7" xfId="17624"/>
    <cellStyle name="20% - Accent1 3 6" xfId="306"/>
    <cellStyle name="20% - Accent1 3 6 2" xfId="307"/>
    <cellStyle name="20% - Accent1 3 6 2 2" xfId="14552"/>
    <cellStyle name="20% - Accent1 3 6 2 2 2" xfId="28101"/>
    <cellStyle name="20% - Accent1 3 6 2 3" xfId="17630"/>
    <cellStyle name="20% - Accent1 3 6 3" xfId="308"/>
    <cellStyle name="20% - Accent1 3 6 3 2" xfId="16506"/>
    <cellStyle name="20% - Accent1 3 6 3 2 2" xfId="29913"/>
    <cellStyle name="20% - Accent1 3 6 3 3" xfId="17631"/>
    <cellStyle name="20% - Accent1 3 6 4" xfId="10575"/>
    <cellStyle name="20% - Accent1 3 6 4 2" xfId="24517"/>
    <cellStyle name="20% - Accent1 3 6 5" xfId="17629"/>
    <cellStyle name="20% - Accent1 3 7" xfId="309"/>
    <cellStyle name="20% - Accent1 3 7 2" xfId="11878"/>
    <cellStyle name="20% - Accent1 3 7 2 2" xfId="25593"/>
    <cellStyle name="20% - Accent1 3 7 3" xfId="17632"/>
    <cellStyle name="20% - Accent1 3 8" xfId="310"/>
    <cellStyle name="20% - Accent1 3 8 2" xfId="12569"/>
    <cellStyle name="20% - Accent1 3 8 2 2" xfId="26281"/>
    <cellStyle name="20% - Accent1 3 8 3" xfId="17633"/>
    <cellStyle name="20% - Accent1 3 9" xfId="311"/>
    <cellStyle name="20% - Accent1 3 9 2" xfId="13458"/>
    <cellStyle name="20% - Accent1 3 9 2 2" xfId="27007"/>
    <cellStyle name="20% - Accent1 3 9 3" xfId="17634"/>
    <cellStyle name="20% - Accent1 30" xfId="23246"/>
    <cellStyle name="20% - Accent1 4" xfId="312"/>
    <cellStyle name="20% - Accent1 4 10" xfId="313"/>
    <cellStyle name="20% - Accent1 4 10 2" xfId="14551"/>
    <cellStyle name="20% - Accent1 4 10 2 2" xfId="28100"/>
    <cellStyle name="20% - Accent1 4 10 3" xfId="17636"/>
    <cellStyle name="20% - Accent1 4 11" xfId="314"/>
    <cellStyle name="20% - Accent1 4 11 2" xfId="15879"/>
    <cellStyle name="20% - Accent1 4 11 2 2" xfId="29286"/>
    <cellStyle name="20% - Accent1 4 11 3" xfId="17637"/>
    <cellStyle name="20% - Accent1 4 12" xfId="8859"/>
    <cellStyle name="20% - Accent1 4 12 2" xfId="23334"/>
    <cellStyle name="20% - Accent1 4 13" xfId="17635"/>
    <cellStyle name="20% - Accent1 4 2" xfId="315"/>
    <cellStyle name="20% - Accent1 4 2 10" xfId="316"/>
    <cellStyle name="20% - Accent1 4 2 10 2" xfId="16022"/>
    <cellStyle name="20% - Accent1 4 2 10 2 2" xfId="29429"/>
    <cellStyle name="20% - Accent1 4 2 10 3" xfId="17639"/>
    <cellStyle name="20% - Accent1 4 2 11" xfId="8860"/>
    <cellStyle name="20% - Accent1 4 2 11 2" xfId="23335"/>
    <cellStyle name="20% - Accent1 4 2 12" xfId="17638"/>
    <cellStyle name="20% - Accent1 4 2 2" xfId="317"/>
    <cellStyle name="20% - Accent1 4 2 2 10" xfId="8861"/>
    <cellStyle name="20% - Accent1 4 2 2 10 2" xfId="23336"/>
    <cellStyle name="20% - Accent1 4 2 2 11" xfId="17640"/>
    <cellStyle name="20% - Accent1 4 2 2 2" xfId="318"/>
    <cellStyle name="20% - Accent1 4 2 2 2 2" xfId="319"/>
    <cellStyle name="20% - Accent1 4 2 2 2 2 2" xfId="10587"/>
    <cellStyle name="20% - Accent1 4 2 2 2 2 2 2" xfId="24529"/>
    <cellStyle name="20% - Accent1 4 2 2 2 2 3" xfId="17642"/>
    <cellStyle name="20% - Accent1 4 2 2 2 3" xfId="320"/>
    <cellStyle name="20% - Accent1 4 2 2 2 3 2" xfId="12403"/>
    <cellStyle name="20% - Accent1 4 2 2 2 3 2 2" xfId="26115"/>
    <cellStyle name="20% - Accent1 4 2 2 2 3 3" xfId="17643"/>
    <cellStyle name="20% - Accent1 4 2 2 2 4" xfId="321"/>
    <cellStyle name="20% - Accent1 4 2 2 2 4 2" xfId="14548"/>
    <cellStyle name="20% - Accent1 4 2 2 2 4 2 2" xfId="28097"/>
    <cellStyle name="20% - Accent1 4 2 2 2 4 3" xfId="17644"/>
    <cellStyle name="20% - Accent1 4 2 2 2 5" xfId="322"/>
    <cellStyle name="20% - Accent1 4 2 2 2 5 2" xfId="16892"/>
    <cellStyle name="20% - Accent1 4 2 2 2 5 2 2" xfId="30299"/>
    <cellStyle name="20% - Accent1 4 2 2 2 5 3" xfId="17645"/>
    <cellStyle name="20% - Accent1 4 2 2 2 6" xfId="8862"/>
    <cellStyle name="20% - Accent1 4 2 2 2 6 2" xfId="23337"/>
    <cellStyle name="20% - Accent1 4 2 2 2 7" xfId="17641"/>
    <cellStyle name="20% - Accent1 4 2 2 3" xfId="323"/>
    <cellStyle name="20% - Accent1 4 2 2 3 2" xfId="324"/>
    <cellStyle name="20% - Accent1 4 2 2 3 2 2" xfId="14547"/>
    <cellStyle name="20% - Accent1 4 2 2 3 2 2 2" xfId="28096"/>
    <cellStyle name="20% - Accent1 4 2 2 3 2 3" xfId="17647"/>
    <cellStyle name="20% - Accent1 4 2 2 3 3" xfId="10586"/>
    <cellStyle name="20% - Accent1 4 2 2 3 3 2" xfId="24528"/>
    <cellStyle name="20% - Accent1 4 2 2 3 4" xfId="17646"/>
    <cellStyle name="20% - Accent1 4 2 2 4" xfId="325"/>
    <cellStyle name="20% - Accent1 4 2 2 4 2" xfId="12280"/>
    <cellStyle name="20% - Accent1 4 2 2 4 2 2" xfId="25992"/>
    <cellStyle name="20% - Accent1 4 2 2 4 3" xfId="17648"/>
    <cellStyle name="20% - Accent1 4 2 2 5" xfId="326"/>
    <cellStyle name="20% - Accent1 4 2 2 5 2" xfId="12721"/>
    <cellStyle name="20% - Accent1 4 2 2 5 2 2" xfId="26433"/>
    <cellStyle name="20% - Accent1 4 2 2 5 3" xfId="17649"/>
    <cellStyle name="20% - Accent1 4 2 2 6" xfId="327"/>
    <cellStyle name="20% - Accent1 4 2 2 6 2" xfId="13844"/>
    <cellStyle name="20% - Accent1 4 2 2 6 2 2" xfId="27393"/>
    <cellStyle name="20% - Accent1 4 2 2 6 3" xfId="17650"/>
    <cellStyle name="20% - Accent1 4 2 2 7" xfId="328"/>
    <cellStyle name="20% - Accent1 4 2 2 7 2" xfId="14425"/>
    <cellStyle name="20% - Accent1 4 2 2 7 2 2" xfId="27974"/>
    <cellStyle name="20% - Accent1 4 2 2 7 3" xfId="17651"/>
    <cellStyle name="20% - Accent1 4 2 2 8" xfId="329"/>
    <cellStyle name="20% - Accent1 4 2 2 8 2" xfId="14549"/>
    <cellStyle name="20% - Accent1 4 2 2 8 2 2" xfId="28098"/>
    <cellStyle name="20% - Accent1 4 2 2 8 3" xfId="17652"/>
    <cellStyle name="20% - Accent1 4 2 2 9" xfId="330"/>
    <cellStyle name="20% - Accent1 4 2 2 9 2" xfId="16311"/>
    <cellStyle name="20% - Accent1 4 2 2 9 2 2" xfId="29718"/>
    <cellStyle name="20% - Accent1 4 2 2 9 3" xfId="17653"/>
    <cellStyle name="20% - Accent1 4 2 3" xfId="331"/>
    <cellStyle name="20% - Accent1 4 2 3 2" xfId="332"/>
    <cellStyle name="20% - Accent1 4 2 3 2 2" xfId="10588"/>
    <cellStyle name="20% - Accent1 4 2 3 2 2 2" xfId="24530"/>
    <cellStyle name="20% - Accent1 4 2 3 2 3" xfId="17655"/>
    <cellStyle name="20% - Accent1 4 2 3 3" xfId="333"/>
    <cellStyle name="20% - Accent1 4 2 3 3 2" xfId="12699"/>
    <cellStyle name="20% - Accent1 4 2 3 3 2 2" xfId="26411"/>
    <cellStyle name="20% - Accent1 4 2 3 3 3" xfId="17656"/>
    <cellStyle name="20% - Accent1 4 2 3 4" xfId="334"/>
    <cellStyle name="20% - Accent1 4 2 3 4 2" xfId="14546"/>
    <cellStyle name="20% - Accent1 4 2 3 4 2 2" xfId="28095"/>
    <cellStyle name="20% - Accent1 4 2 3 4 3" xfId="17657"/>
    <cellStyle name="20% - Accent1 4 2 3 5" xfId="335"/>
    <cellStyle name="20% - Accent1 4 2 3 5 2" xfId="16603"/>
    <cellStyle name="20% - Accent1 4 2 3 5 2 2" xfId="30010"/>
    <cellStyle name="20% - Accent1 4 2 3 5 3" xfId="17658"/>
    <cellStyle name="20% - Accent1 4 2 3 6" xfId="8863"/>
    <cellStyle name="20% - Accent1 4 2 3 6 2" xfId="23338"/>
    <cellStyle name="20% - Accent1 4 2 3 7" xfId="17654"/>
    <cellStyle name="20% - Accent1 4 2 4" xfId="336"/>
    <cellStyle name="20% - Accent1 4 2 4 2" xfId="337"/>
    <cellStyle name="20% - Accent1 4 2 4 2 2" xfId="14545"/>
    <cellStyle name="20% - Accent1 4 2 4 2 2 2" xfId="28094"/>
    <cellStyle name="20% - Accent1 4 2 4 2 3" xfId="17660"/>
    <cellStyle name="20% - Accent1 4 2 4 3" xfId="10585"/>
    <cellStyle name="20% - Accent1 4 2 4 3 2" xfId="24527"/>
    <cellStyle name="20% - Accent1 4 2 4 4" xfId="17659"/>
    <cellStyle name="20% - Accent1 4 2 5" xfId="338"/>
    <cellStyle name="20% - Accent1 4 2 5 2" xfId="11980"/>
    <cellStyle name="20% - Accent1 4 2 5 2 2" xfId="25695"/>
    <cellStyle name="20% - Accent1 4 2 5 3" xfId="17661"/>
    <cellStyle name="20% - Accent1 4 2 6" xfId="339"/>
    <cellStyle name="20% - Accent1 4 2 6 2" xfId="12620"/>
    <cellStyle name="20% - Accent1 4 2 6 2 2" xfId="26332"/>
    <cellStyle name="20% - Accent1 4 2 6 3" xfId="17662"/>
    <cellStyle name="20% - Accent1 4 2 7" xfId="340"/>
    <cellStyle name="20% - Accent1 4 2 7 2" xfId="13555"/>
    <cellStyle name="20% - Accent1 4 2 7 2 2" xfId="27104"/>
    <cellStyle name="20% - Accent1 4 2 7 3" xfId="17663"/>
    <cellStyle name="20% - Accent1 4 2 8" xfId="341"/>
    <cellStyle name="20% - Accent1 4 2 8 2" xfId="14136"/>
    <cellStyle name="20% - Accent1 4 2 8 2 2" xfId="27685"/>
    <cellStyle name="20% - Accent1 4 2 8 3" xfId="17664"/>
    <cellStyle name="20% - Accent1 4 2 9" xfId="342"/>
    <cellStyle name="20% - Accent1 4 2 9 2" xfId="14550"/>
    <cellStyle name="20% - Accent1 4 2 9 2 2" xfId="28099"/>
    <cellStyle name="20% - Accent1 4 2 9 3" xfId="17665"/>
    <cellStyle name="20% - Accent1 4 3" xfId="343"/>
    <cellStyle name="20% - Accent1 4 3 10" xfId="8864"/>
    <cellStyle name="20% - Accent1 4 3 10 2" xfId="23339"/>
    <cellStyle name="20% - Accent1 4 3 11" xfId="17666"/>
    <cellStyle name="20% - Accent1 4 3 2" xfId="344"/>
    <cellStyle name="20% - Accent1 4 3 2 2" xfId="345"/>
    <cellStyle name="20% - Accent1 4 3 2 2 2" xfId="10590"/>
    <cellStyle name="20% - Accent1 4 3 2 2 2 2" xfId="24532"/>
    <cellStyle name="20% - Accent1 4 3 2 2 3" xfId="17668"/>
    <cellStyle name="20% - Accent1 4 3 2 3" xfId="346"/>
    <cellStyle name="20% - Accent1 4 3 2 3 2" xfId="12570"/>
    <cellStyle name="20% - Accent1 4 3 2 3 2 2" xfId="26282"/>
    <cellStyle name="20% - Accent1 4 3 2 3 3" xfId="17669"/>
    <cellStyle name="20% - Accent1 4 3 2 4" xfId="347"/>
    <cellStyle name="20% - Accent1 4 3 2 4 2" xfId="14543"/>
    <cellStyle name="20% - Accent1 4 3 2 4 2 2" xfId="28092"/>
    <cellStyle name="20% - Accent1 4 3 2 4 3" xfId="17670"/>
    <cellStyle name="20% - Accent1 4 3 2 5" xfId="348"/>
    <cellStyle name="20% - Accent1 4 3 2 5 2" xfId="16752"/>
    <cellStyle name="20% - Accent1 4 3 2 5 2 2" xfId="30159"/>
    <cellStyle name="20% - Accent1 4 3 2 5 3" xfId="17671"/>
    <cellStyle name="20% - Accent1 4 3 2 6" xfId="8865"/>
    <cellStyle name="20% - Accent1 4 3 2 6 2" xfId="23340"/>
    <cellStyle name="20% - Accent1 4 3 2 7" xfId="17667"/>
    <cellStyle name="20% - Accent1 4 3 3" xfId="349"/>
    <cellStyle name="20% - Accent1 4 3 3 2" xfId="350"/>
    <cellStyle name="20% - Accent1 4 3 3 2 2" xfId="14542"/>
    <cellStyle name="20% - Accent1 4 3 3 2 2 2" xfId="28091"/>
    <cellStyle name="20% - Accent1 4 3 3 2 3" xfId="17673"/>
    <cellStyle name="20% - Accent1 4 3 3 3" xfId="10589"/>
    <cellStyle name="20% - Accent1 4 3 3 3 2" xfId="24531"/>
    <cellStyle name="20% - Accent1 4 3 3 4" xfId="17672"/>
    <cellStyle name="20% - Accent1 4 3 4" xfId="351"/>
    <cellStyle name="20% - Accent1 4 3 4 2" xfId="12140"/>
    <cellStyle name="20% - Accent1 4 3 4 2 2" xfId="25852"/>
    <cellStyle name="20% - Accent1 4 3 4 3" xfId="17674"/>
    <cellStyle name="20% - Accent1 4 3 5" xfId="352"/>
    <cellStyle name="20% - Accent1 4 3 5 2" xfId="12720"/>
    <cellStyle name="20% - Accent1 4 3 5 2 2" xfId="26432"/>
    <cellStyle name="20% - Accent1 4 3 5 3" xfId="17675"/>
    <cellStyle name="20% - Accent1 4 3 6" xfId="353"/>
    <cellStyle name="20% - Accent1 4 3 6 2" xfId="13704"/>
    <cellStyle name="20% - Accent1 4 3 6 2 2" xfId="27253"/>
    <cellStyle name="20% - Accent1 4 3 6 3" xfId="17676"/>
    <cellStyle name="20% - Accent1 4 3 7" xfId="354"/>
    <cellStyle name="20% - Accent1 4 3 7 2" xfId="14285"/>
    <cellStyle name="20% - Accent1 4 3 7 2 2" xfId="27834"/>
    <cellStyle name="20% - Accent1 4 3 7 3" xfId="17677"/>
    <cellStyle name="20% - Accent1 4 3 8" xfId="355"/>
    <cellStyle name="20% - Accent1 4 3 8 2" xfId="14544"/>
    <cellStyle name="20% - Accent1 4 3 8 2 2" xfId="28093"/>
    <cellStyle name="20% - Accent1 4 3 8 3" xfId="17678"/>
    <cellStyle name="20% - Accent1 4 3 9" xfId="356"/>
    <cellStyle name="20% - Accent1 4 3 9 2" xfId="16171"/>
    <cellStyle name="20% - Accent1 4 3 9 2 2" xfId="29578"/>
    <cellStyle name="20% - Accent1 4 3 9 3" xfId="17679"/>
    <cellStyle name="20% - Accent1 4 4" xfId="357"/>
    <cellStyle name="20% - Accent1 4 4 2" xfId="358"/>
    <cellStyle name="20% - Accent1 4 4 2 2" xfId="10591"/>
    <cellStyle name="20% - Accent1 4 4 2 2 2" xfId="24533"/>
    <cellStyle name="20% - Accent1 4 4 2 3" xfId="17681"/>
    <cellStyle name="20% - Accent1 4 4 3" xfId="359"/>
    <cellStyle name="20% - Accent1 4 4 3 2" xfId="12698"/>
    <cellStyle name="20% - Accent1 4 4 3 2 2" xfId="26410"/>
    <cellStyle name="20% - Accent1 4 4 3 3" xfId="17682"/>
    <cellStyle name="20% - Accent1 4 4 4" xfId="360"/>
    <cellStyle name="20% - Accent1 4 4 4 2" xfId="14541"/>
    <cellStyle name="20% - Accent1 4 4 4 2 2" xfId="28090"/>
    <cellStyle name="20% - Accent1 4 4 4 3" xfId="17683"/>
    <cellStyle name="20% - Accent1 4 4 5" xfId="361"/>
    <cellStyle name="20% - Accent1 4 4 5 2" xfId="16460"/>
    <cellStyle name="20% - Accent1 4 4 5 2 2" xfId="29867"/>
    <cellStyle name="20% - Accent1 4 4 5 3" xfId="17684"/>
    <cellStyle name="20% - Accent1 4 4 6" xfId="8866"/>
    <cellStyle name="20% - Accent1 4 4 6 2" xfId="23341"/>
    <cellStyle name="20% - Accent1 4 4 7" xfId="17680"/>
    <cellStyle name="20% - Accent1 4 5" xfId="362"/>
    <cellStyle name="20% - Accent1 4 5 2" xfId="363"/>
    <cellStyle name="20% - Accent1 4 5 2 2" xfId="14604"/>
    <cellStyle name="20% - Accent1 4 5 2 2 2" xfId="28153"/>
    <cellStyle name="20% - Accent1 4 5 2 3" xfId="17686"/>
    <cellStyle name="20% - Accent1 4 5 3" xfId="10584"/>
    <cellStyle name="20% - Accent1 4 5 3 2" xfId="24526"/>
    <cellStyle name="20% - Accent1 4 5 4" xfId="17685"/>
    <cellStyle name="20% - Accent1 4 6" xfId="364"/>
    <cellStyle name="20% - Accent1 4 6 2" xfId="11811"/>
    <cellStyle name="20% - Accent1 4 6 2 2" xfId="25526"/>
    <cellStyle name="20% - Accent1 4 6 3" xfId="17687"/>
    <cellStyle name="20% - Accent1 4 7" xfId="365"/>
    <cellStyle name="20% - Accent1 4 7 2" xfId="12716"/>
    <cellStyle name="20% - Accent1 4 7 2 2" xfId="26428"/>
    <cellStyle name="20% - Accent1 4 7 3" xfId="17688"/>
    <cellStyle name="20% - Accent1 4 8" xfId="366"/>
    <cellStyle name="20% - Accent1 4 8 2" xfId="13412"/>
    <cellStyle name="20% - Accent1 4 8 2 2" xfId="26961"/>
    <cellStyle name="20% - Accent1 4 8 3" xfId="17689"/>
    <cellStyle name="20% - Accent1 4 9" xfId="367"/>
    <cellStyle name="20% - Accent1 4 9 2" xfId="13993"/>
    <cellStyle name="20% - Accent1 4 9 2 2" xfId="27542"/>
    <cellStyle name="20% - Accent1 4 9 3" xfId="17690"/>
    <cellStyle name="20% - Accent1 5" xfId="368"/>
    <cellStyle name="20% - Accent1 5 10" xfId="369"/>
    <cellStyle name="20% - Accent1 5 10 2" xfId="14605"/>
    <cellStyle name="20% - Accent1 5 10 2 2" xfId="28154"/>
    <cellStyle name="20% - Accent1 5 10 3" xfId="17692"/>
    <cellStyle name="20% - Accent1 5 11" xfId="370"/>
    <cellStyle name="20% - Accent1 5 11 2" xfId="15862"/>
    <cellStyle name="20% - Accent1 5 11 2 2" xfId="29269"/>
    <cellStyle name="20% - Accent1 5 11 3" xfId="17693"/>
    <cellStyle name="20% - Accent1 5 12" xfId="8867"/>
    <cellStyle name="20% - Accent1 5 12 2" xfId="23342"/>
    <cellStyle name="20% - Accent1 5 13" xfId="17691"/>
    <cellStyle name="20% - Accent1 5 2" xfId="371"/>
    <cellStyle name="20% - Accent1 5 2 10" xfId="372"/>
    <cellStyle name="20% - Accent1 5 2 10 2" xfId="16005"/>
    <cellStyle name="20% - Accent1 5 2 10 2 2" xfId="29412"/>
    <cellStyle name="20% - Accent1 5 2 10 3" xfId="17695"/>
    <cellStyle name="20% - Accent1 5 2 11" xfId="8868"/>
    <cellStyle name="20% - Accent1 5 2 11 2" xfId="23343"/>
    <cellStyle name="20% - Accent1 5 2 12" xfId="17694"/>
    <cellStyle name="20% - Accent1 5 2 2" xfId="373"/>
    <cellStyle name="20% - Accent1 5 2 2 10" xfId="8869"/>
    <cellStyle name="20% - Accent1 5 2 2 10 2" xfId="23344"/>
    <cellStyle name="20% - Accent1 5 2 2 11" xfId="17696"/>
    <cellStyle name="20% - Accent1 5 2 2 2" xfId="374"/>
    <cellStyle name="20% - Accent1 5 2 2 2 2" xfId="375"/>
    <cellStyle name="20% - Accent1 5 2 2 2 2 2" xfId="10595"/>
    <cellStyle name="20% - Accent1 5 2 2 2 2 2 2" xfId="24537"/>
    <cellStyle name="20% - Accent1 5 2 2 2 2 3" xfId="17698"/>
    <cellStyle name="20% - Accent1 5 2 2 2 3" xfId="376"/>
    <cellStyle name="20% - Accent1 5 2 2 2 3 2" xfId="12544"/>
    <cellStyle name="20% - Accent1 5 2 2 2 3 2 2" xfId="26256"/>
    <cellStyle name="20% - Accent1 5 2 2 2 3 3" xfId="17699"/>
    <cellStyle name="20% - Accent1 5 2 2 2 4" xfId="377"/>
    <cellStyle name="20% - Accent1 5 2 2 2 4 2" xfId="14608"/>
    <cellStyle name="20% - Accent1 5 2 2 2 4 2 2" xfId="28157"/>
    <cellStyle name="20% - Accent1 5 2 2 2 4 3" xfId="17700"/>
    <cellStyle name="20% - Accent1 5 2 2 2 5" xfId="378"/>
    <cellStyle name="20% - Accent1 5 2 2 2 5 2" xfId="16875"/>
    <cellStyle name="20% - Accent1 5 2 2 2 5 2 2" xfId="30282"/>
    <cellStyle name="20% - Accent1 5 2 2 2 5 3" xfId="17701"/>
    <cellStyle name="20% - Accent1 5 2 2 2 6" xfId="8870"/>
    <cellStyle name="20% - Accent1 5 2 2 2 6 2" xfId="23345"/>
    <cellStyle name="20% - Accent1 5 2 2 2 7" xfId="17697"/>
    <cellStyle name="20% - Accent1 5 2 2 3" xfId="379"/>
    <cellStyle name="20% - Accent1 5 2 2 3 2" xfId="380"/>
    <cellStyle name="20% - Accent1 5 2 2 3 2 2" xfId="14609"/>
    <cellStyle name="20% - Accent1 5 2 2 3 2 2 2" xfId="28158"/>
    <cellStyle name="20% - Accent1 5 2 2 3 2 3" xfId="17703"/>
    <cellStyle name="20% - Accent1 5 2 2 3 3" xfId="10594"/>
    <cellStyle name="20% - Accent1 5 2 2 3 3 2" xfId="24536"/>
    <cellStyle name="20% - Accent1 5 2 2 3 4" xfId="17702"/>
    <cellStyle name="20% - Accent1 5 2 2 4" xfId="381"/>
    <cellStyle name="20% - Accent1 5 2 2 4 2" xfId="12263"/>
    <cellStyle name="20% - Accent1 5 2 2 4 2 2" xfId="25975"/>
    <cellStyle name="20% - Accent1 5 2 2 4 3" xfId="17704"/>
    <cellStyle name="20% - Accent1 5 2 2 5" xfId="382"/>
    <cellStyle name="20% - Accent1 5 2 2 5 2" xfId="12613"/>
    <cellStyle name="20% - Accent1 5 2 2 5 2 2" xfId="26325"/>
    <cellStyle name="20% - Accent1 5 2 2 5 3" xfId="17705"/>
    <cellStyle name="20% - Accent1 5 2 2 6" xfId="383"/>
    <cellStyle name="20% - Accent1 5 2 2 6 2" xfId="13827"/>
    <cellStyle name="20% - Accent1 5 2 2 6 2 2" xfId="27376"/>
    <cellStyle name="20% - Accent1 5 2 2 6 3" xfId="17706"/>
    <cellStyle name="20% - Accent1 5 2 2 7" xfId="384"/>
    <cellStyle name="20% - Accent1 5 2 2 7 2" xfId="14408"/>
    <cellStyle name="20% - Accent1 5 2 2 7 2 2" xfId="27957"/>
    <cellStyle name="20% - Accent1 5 2 2 7 3" xfId="17707"/>
    <cellStyle name="20% - Accent1 5 2 2 8" xfId="385"/>
    <cellStyle name="20% - Accent1 5 2 2 8 2" xfId="14607"/>
    <cellStyle name="20% - Accent1 5 2 2 8 2 2" xfId="28156"/>
    <cellStyle name="20% - Accent1 5 2 2 8 3" xfId="17708"/>
    <cellStyle name="20% - Accent1 5 2 2 9" xfId="386"/>
    <cellStyle name="20% - Accent1 5 2 2 9 2" xfId="16294"/>
    <cellStyle name="20% - Accent1 5 2 2 9 2 2" xfId="29701"/>
    <cellStyle name="20% - Accent1 5 2 2 9 3" xfId="17709"/>
    <cellStyle name="20% - Accent1 5 2 3" xfId="387"/>
    <cellStyle name="20% - Accent1 5 2 3 2" xfId="388"/>
    <cellStyle name="20% - Accent1 5 2 3 2 2" xfId="10596"/>
    <cellStyle name="20% - Accent1 5 2 3 2 2 2" xfId="24538"/>
    <cellStyle name="20% - Accent1 5 2 3 2 3" xfId="17711"/>
    <cellStyle name="20% - Accent1 5 2 3 3" xfId="389"/>
    <cellStyle name="20% - Accent1 5 2 3 3 2" xfId="12656"/>
    <cellStyle name="20% - Accent1 5 2 3 3 2 2" xfId="26368"/>
    <cellStyle name="20% - Accent1 5 2 3 3 3" xfId="17712"/>
    <cellStyle name="20% - Accent1 5 2 3 4" xfId="390"/>
    <cellStyle name="20% - Accent1 5 2 3 4 2" xfId="14610"/>
    <cellStyle name="20% - Accent1 5 2 3 4 2 2" xfId="28159"/>
    <cellStyle name="20% - Accent1 5 2 3 4 3" xfId="17713"/>
    <cellStyle name="20% - Accent1 5 2 3 5" xfId="391"/>
    <cellStyle name="20% - Accent1 5 2 3 5 2" xfId="16586"/>
    <cellStyle name="20% - Accent1 5 2 3 5 2 2" xfId="29993"/>
    <cellStyle name="20% - Accent1 5 2 3 5 3" xfId="17714"/>
    <cellStyle name="20% - Accent1 5 2 3 6" xfId="8871"/>
    <cellStyle name="20% - Accent1 5 2 3 6 2" xfId="23346"/>
    <cellStyle name="20% - Accent1 5 2 3 7" xfId="17710"/>
    <cellStyle name="20% - Accent1 5 2 4" xfId="392"/>
    <cellStyle name="20% - Accent1 5 2 4 2" xfId="393"/>
    <cellStyle name="20% - Accent1 5 2 4 2 2" xfId="14611"/>
    <cellStyle name="20% - Accent1 5 2 4 2 2 2" xfId="28160"/>
    <cellStyle name="20% - Accent1 5 2 4 2 3" xfId="17716"/>
    <cellStyle name="20% - Accent1 5 2 4 3" xfId="10593"/>
    <cellStyle name="20% - Accent1 5 2 4 3 2" xfId="24535"/>
    <cellStyle name="20% - Accent1 5 2 4 4" xfId="17715"/>
    <cellStyle name="20% - Accent1 5 2 5" xfId="394"/>
    <cellStyle name="20% - Accent1 5 2 5 2" xfId="11963"/>
    <cellStyle name="20% - Accent1 5 2 5 2 2" xfId="25678"/>
    <cellStyle name="20% - Accent1 5 2 5 3" xfId="17717"/>
    <cellStyle name="20% - Accent1 5 2 6" xfId="395"/>
    <cellStyle name="20% - Accent1 5 2 6 2" xfId="12114"/>
    <cellStyle name="20% - Accent1 5 2 6 2 2" xfId="25826"/>
    <cellStyle name="20% - Accent1 5 2 6 3" xfId="17718"/>
    <cellStyle name="20% - Accent1 5 2 7" xfId="396"/>
    <cellStyle name="20% - Accent1 5 2 7 2" xfId="13538"/>
    <cellStyle name="20% - Accent1 5 2 7 2 2" xfId="27087"/>
    <cellStyle name="20% - Accent1 5 2 7 3" xfId="17719"/>
    <cellStyle name="20% - Accent1 5 2 8" xfId="397"/>
    <cellStyle name="20% - Accent1 5 2 8 2" xfId="14119"/>
    <cellStyle name="20% - Accent1 5 2 8 2 2" xfId="27668"/>
    <cellStyle name="20% - Accent1 5 2 8 3" xfId="17720"/>
    <cellStyle name="20% - Accent1 5 2 9" xfId="398"/>
    <cellStyle name="20% - Accent1 5 2 9 2" xfId="14606"/>
    <cellStyle name="20% - Accent1 5 2 9 2 2" xfId="28155"/>
    <cellStyle name="20% - Accent1 5 2 9 3" xfId="17721"/>
    <cellStyle name="20% - Accent1 5 3" xfId="399"/>
    <cellStyle name="20% - Accent1 5 3 10" xfId="8872"/>
    <cellStyle name="20% - Accent1 5 3 10 2" xfId="23347"/>
    <cellStyle name="20% - Accent1 5 3 11" xfId="17722"/>
    <cellStyle name="20% - Accent1 5 3 2" xfId="400"/>
    <cellStyle name="20% - Accent1 5 3 2 2" xfId="401"/>
    <cellStyle name="20% - Accent1 5 3 2 2 2" xfId="10598"/>
    <cellStyle name="20% - Accent1 5 3 2 2 2 2" xfId="24540"/>
    <cellStyle name="20% - Accent1 5 3 2 2 3" xfId="17724"/>
    <cellStyle name="20% - Accent1 5 3 2 3" xfId="402"/>
    <cellStyle name="20% - Accent1 5 3 2 3 2" xfId="12464"/>
    <cellStyle name="20% - Accent1 5 3 2 3 2 2" xfId="26176"/>
    <cellStyle name="20% - Accent1 5 3 2 3 3" xfId="17725"/>
    <cellStyle name="20% - Accent1 5 3 2 4" xfId="403"/>
    <cellStyle name="20% - Accent1 5 3 2 4 2" xfId="14613"/>
    <cellStyle name="20% - Accent1 5 3 2 4 2 2" xfId="28162"/>
    <cellStyle name="20% - Accent1 5 3 2 4 3" xfId="17726"/>
    <cellStyle name="20% - Accent1 5 3 2 5" xfId="404"/>
    <cellStyle name="20% - Accent1 5 3 2 5 2" xfId="16725"/>
    <cellStyle name="20% - Accent1 5 3 2 5 2 2" xfId="30132"/>
    <cellStyle name="20% - Accent1 5 3 2 5 3" xfId="17727"/>
    <cellStyle name="20% - Accent1 5 3 2 6" xfId="8873"/>
    <cellStyle name="20% - Accent1 5 3 2 6 2" xfId="23348"/>
    <cellStyle name="20% - Accent1 5 3 2 7" xfId="17723"/>
    <cellStyle name="20% - Accent1 5 3 3" xfId="405"/>
    <cellStyle name="20% - Accent1 5 3 3 2" xfId="406"/>
    <cellStyle name="20% - Accent1 5 3 3 2 2" xfId="14614"/>
    <cellStyle name="20% - Accent1 5 3 3 2 2 2" xfId="28163"/>
    <cellStyle name="20% - Accent1 5 3 3 2 3" xfId="17729"/>
    <cellStyle name="20% - Accent1 5 3 3 3" xfId="10597"/>
    <cellStyle name="20% - Accent1 5 3 3 3 2" xfId="24539"/>
    <cellStyle name="20% - Accent1 5 3 3 4" xfId="17728"/>
    <cellStyle name="20% - Accent1 5 3 4" xfId="407"/>
    <cellStyle name="20% - Accent1 5 3 4 2" xfId="12105"/>
    <cellStyle name="20% - Accent1 5 3 4 2 2" xfId="25817"/>
    <cellStyle name="20% - Accent1 5 3 4 3" xfId="17730"/>
    <cellStyle name="20% - Accent1 5 3 5" xfId="408"/>
    <cellStyle name="20% - Accent1 5 3 5 2" xfId="12434"/>
    <cellStyle name="20% - Accent1 5 3 5 2 2" xfId="26146"/>
    <cellStyle name="20% - Accent1 5 3 5 3" xfId="17731"/>
    <cellStyle name="20% - Accent1 5 3 6" xfId="409"/>
    <cellStyle name="20% - Accent1 5 3 6 2" xfId="13677"/>
    <cellStyle name="20% - Accent1 5 3 6 2 2" xfId="27226"/>
    <cellStyle name="20% - Accent1 5 3 6 3" xfId="17732"/>
    <cellStyle name="20% - Accent1 5 3 7" xfId="410"/>
    <cellStyle name="20% - Accent1 5 3 7 2" xfId="14258"/>
    <cellStyle name="20% - Accent1 5 3 7 2 2" xfId="27807"/>
    <cellStyle name="20% - Accent1 5 3 7 3" xfId="17733"/>
    <cellStyle name="20% - Accent1 5 3 8" xfId="411"/>
    <cellStyle name="20% - Accent1 5 3 8 2" xfId="14612"/>
    <cellStyle name="20% - Accent1 5 3 8 2 2" xfId="28161"/>
    <cellStyle name="20% - Accent1 5 3 8 3" xfId="17734"/>
    <cellStyle name="20% - Accent1 5 3 9" xfId="412"/>
    <cellStyle name="20% - Accent1 5 3 9 2" xfId="16144"/>
    <cellStyle name="20% - Accent1 5 3 9 2 2" xfId="29551"/>
    <cellStyle name="20% - Accent1 5 3 9 3" xfId="17735"/>
    <cellStyle name="20% - Accent1 5 4" xfId="413"/>
    <cellStyle name="20% - Accent1 5 4 2" xfId="414"/>
    <cellStyle name="20% - Accent1 5 4 2 2" xfId="10599"/>
    <cellStyle name="20% - Accent1 5 4 2 2 2" xfId="24541"/>
    <cellStyle name="20% - Accent1 5 4 2 3" xfId="17737"/>
    <cellStyle name="20% - Accent1 5 4 3" xfId="415"/>
    <cellStyle name="20% - Accent1 5 4 3 2" xfId="12428"/>
    <cellStyle name="20% - Accent1 5 4 3 2 2" xfId="26140"/>
    <cellStyle name="20% - Accent1 5 4 3 3" xfId="17738"/>
    <cellStyle name="20% - Accent1 5 4 4" xfId="416"/>
    <cellStyle name="20% - Accent1 5 4 4 2" xfId="14619"/>
    <cellStyle name="20% - Accent1 5 4 4 2 2" xfId="28168"/>
    <cellStyle name="20% - Accent1 5 4 4 3" xfId="17739"/>
    <cellStyle name="20% - Accent1 5 4 5" xfId="417"/>
    <cellStyle name="20% - Accent1 5 4 5 2" xfId="16443"/>
    <cellStyle name="20% - Accent1 5 4 5 2 2" xfId="29850"/>
    <cellStyle name="20% - Accent1 5 4 5 3" xfId="17740"/>
    <cellStyle name="20% - Accent1 5 4 6" xfId="8874"/>
    <cellStyle name="20% - Accent1 5 4 6 2" xfId="23349"/>
    <cellStyle name="20% - Accent1 5 4 7" xfId="17736"/>
    <cellStyle name="20% - Accent1 5 5" xfId="418"/>
    <cellStyle name="20% - Accent1 5 5 2" xfId="419"/>
    <cellStyle name="20% - Accent1 5 5 2 2" xfId="14620"/>
    <cellStyle name="20% - Accent1 5 5 2 2 2" xfId="28169"/>
    <cellStyle name="20% - Accent1 5 5 2 3" xfId="17742"/>
    <cellStyle name="20% - Accent1 5 5 3" xfId="10592"/>
    <cellStyle name="20% - Accent1 5 5 3 2" xfId="24534"/>
    <cellStyle name="20% - Accent1 5 5 4" xfId="17741"/>
    <cellStyle name="20% - Accent1 5 6" xfId="420"/>
    <cellStyle name="20% - Accent1 5 6 2" xfId="11794"/>
    <cellStyle name="20% - Accent1 5 6 2 2" xfId="25509"/>
    <cellStyle name="20% - Accent1 5 6 3" xfId="17743"/>
    <cellStyle name="20% - Accent1 5 7" xfId="421"/>
    <cellStyle name="20% - Accent1 5 7 2" xfId="12556"/>
    <cellStyle name="20% - Accent1 5 7 2 2" xfId="26268"/>
    <cellStyle name="20% - Accent1 5 7 3" xfId="17744"/>
    <cellStyle name="20% - Accent1 5 8" xfId="422"/>
    <cellStyle name="20% - Accent1 5 8 2" xfId="13395"/>
    <cellStyle name="20% - Accent1 5 8 2 2" xfId="26944"/>
    <cellStyle name="20% - Accent1 5 8 3" xfId="17745"/>
    <cellStyle name="20% - Accent1 5 9" xfId="423"/>
    <cellStyle name="20% - Accent1 5 9 2" xfId="13976"/>
    <cellStyle name="20% - Accent1 5 9 2 2" xfId="27525"/>
    <cellStyle name="20% - Accent1 5 9 3" xfId="17746"/>
    <cellStyle name="20% - Accent1 6" xfId="424"/>
    <cellStyle name="20% - Accent1 6 10" xfId="425"/>
    <cellStyle name="20% - Accent1 6 10 2" xfId="14621"/>
    <cellStyle name="20% - Accent1 6 10 2 2" xfId="28170"/>
    <cellStyle name="20% - Accent1 6 10 3" xfId="17748"/>
    <cellStyle name="20% - Accent1 6 11" xfId="426"/>
    <cellStyle name="20% - Accent1 6 11 2" xfId="15968"/>
    <cellStyle name="20% - Accent1 6 11 2 2" xfId="29375"/>
    <cellStyle name="20% - Accent1 6 11 3" xfId="17749"/>
    <cellStyle name="20% - Accent1 6 12" xfId="8875"/>
    <cellStyle name="20% - Accent1 6 12 2" xfId="23350"/>
    <cellStyle name="20% - Accent1 6 13" xfId="17747"/>
    <cellStyle name="20% - Accent1 6 2" xfId="427"/>
    <cellStyle name="20% - Accent1 6 2 10" xfId="428"/>
    <cellStyle name="20% - Accent1 6 2 10 2" xfId="16111"/>
    <cellStyle name="20% - Accent1 6 2 10 2 2" xfId="29518"/>
    <cellStyle name="20% - Accent1 6 2 10 3" xfId="17751"/>
    <cellStyle name="20% - Accent1 6 2 11" xfId="8876"/>
    <cellStyle name="20% - Accent1 6 2 11 2" xfId="23351"/>
    <cellStyle name="20% - Accent1 6 2 12" xfId="17750"/>
    <cellStyle name="20% - Accent1 6 2 2" xfId="429"/>
    <cellStyle name="20% - Accent1 6 2 2 10" xfId="8877"/>
    <cellStyle name="20% - Accent1 6 2 2 10 2" xfId="23352"/>
    <cellStyle name="20% - Accent1 6 2 2 11" xfId="17752"/>
    <cellStyle name="20% - Accent1 6 2 2 2" xfId="430"/>
    <cellStyle name="20% - Accent1 6 2 2 2 2" xfId="431"/>
    <cellStyle name="20% - Accent1 6 2 2 2 2 2" xfId="10603"/>
    <cellStyle name="20% - Accent1 6 2 2 2 2 2 2" xfId="24545"/>
    <cellStyle name="20% - Accent1 6 2 2 2 2 3" xfId="17754"/>
    <cellStyle name="20% - Accent1 6 2 2 2 3" xfId="432"/>
    <cellStyle name="20% - Accent1 6 2 2 2 3 2" xfId="12811"/>
    <cellStyle name="20% - Accent1 6 2 2 2 3 2 2" xfId="26523"/>
    <cellStyle name="20% - Accent1 6 2 2 2 3 3" xfId="17755"/>
    <cellStyle name="20% - Accent1 6 2 2 2 4" xfId="433"/>
    <cellStyle name="20% - Accent1 6 2 2 2 4 2" xfId="14624"/>
    <cellStyle name="20% - Accent1 6 2 2 2 4 2 2" xfId="28173"/>
    <cellStyle name="20% - Accent1 6 2 2 2 4 3" xfId="17756"/>
    <cellStyle name="20% - Accent1 6 2 2 2 5" xfId="434"/>
    <cellStyle name="20% - Accent1 6 2 2 2 5 2" xfId="16981"/>
    <cellStyle name="20% - Accent1 6 2 2 2 5 2 2" xfId="30388"/>
    <cellStyle name="20% - Accent1 6 2 2 2 5 3" xfId="17757"/>
    <cellStyle name="20% - Accent1 6 2 2 2 6" xfId="8878"/>
    <cellStyle name="20% - Accent1 6 2 2 2 6 2" xfId="23353"/>
    <cellStyle name="20% - Accent1 6 2 2 2 7" xfId="17753"/>
    <cellStyle name="20% - Accent1 6 2 2 3" xfId="435"/>
    <cellStyle name="20% - Accent1 6 2 2 3 2" xfId="436"/>
    <cellStyle name="20% - Accent1 6 2 2 3 2 2" xfId="14625"/>
    <cellStyle name="20% - Accent1 6 2 2 3 2 2 2" xfId="28174"/>
    <cellStyle name="20% - Accent1 6 2 2 3 2 3" xfId="17759"/>
    <cellStyle name="20% - Accent1 6 2 2 3 3" xfId="10602"/>
    <cellStyle name="20% - Accent1 6 2 2 3 3 2" xfId="24544"/>
    <cellStyle name="20% - Accent1 6 2 2 3 4" xfId="17758"/>
    <cellStyle name="20% - Accent1 6 2 2 4" xfId="437"/>
    <cellStyle name="20% - Accent1 6 2 2 4 2" xfId="12369"/>
    <cellStyle name="20% - Accent1 6 2 2 4 2 2" xfId="26081"/>
    <cellStyle name="20% - Accent1 6 2 2 4 3" xfId="17760"/>
    <cellStyle name="20% - Accent1 6 2 2 5" xfId="438"/>
    <cellStyle name="20% - Accent1 6 2 2 5 2" xfId="12801"/>
    <cellStyle name="20% - Accent1 6 2 2 5 2 2" xfId="26513"/>
    <cellStyle name="20% - Accent1 6 2 2 5 3" xfId="17761"/>
    <cellStyle name="20% - Accent1 6 2 2 6" xfId="439"/>
    <cellStyle name="20% - Accent1 6 2 2 6 2" xfId="13933"/>
    <cellStyle name="20% - Accent1 6 2 2 6 2 2" xfId="27482"/>
    <cellStyle name="20% - Accent1 6 2 2 6 3" xfId="17762"/>
    <cellStyle name="20% - Accent1 6 2 2 7" xfId="440"/>
    <cellStyle name="20% - Accent1 6 2 2 7 2" xfId="14514"/>
    <cellStyle name="20% - Accent1 6 2 2 7 2 2" xfId="28063"/>
    <cellStyle name="20% - Accent1 6 2 2 7 3" xfId="17763"/>
    <cellStyle name="20% - Accent1 6 2 2 8" xfId="441"/>
    <cellStyle name="20% - Accent1 6 2 2 8 2" xfId="14623"/>
    <cellStyle name="20% - Accent1 6 2 2 8 2 2" xfId="28172"/>
    <cellStyle name="20% - Accent1 6 2 2 8 3" xfId="17764"/>
    <cellStyle name="20% - Accent1 6 2 2 9" xfId="442"/>
    <cellStyle name="20% - Accent1 6 2 2 9 2" xfId="16400"/>
    <cellStyle name="20% - Accent1 6 2 2 9 2 2" xfId="29807"/>
    <cellStyle name="20% - Accent1 6 2 2 9 3" xfId="17765"/>
    <cellStyle name="20% - Accent1 6 2 3" xfId="443"/>
    <cellStyle name="20% - Accent1 6 2 3 2" xfId="444"/>
    <cellStyle name="20% - Accent1 6 2 3 2 2" xfId="10604"/>
    <cellStyle name="20% - Accent1 6 2 3 2 2 2" xfId="24546"/>
    <cellStyle name="20% - Accent1 6 2 3 2 3" xfId="17767"/>
    <cellStyle name="20% - Accent1 6 2 3 3" xfId="445"/>
    <cellStyle name="20% - Accent1 6 2 3 3 2" xfId="12514"/>
    <cellStyle name="20% - Accent1 6 2 3 3 2 2" xfId="26226"/>
    <cellStyle name="20% - Accent1 6 2 3 3 3" xfId="17768"/>
    <cellStyle name="20% - Accent1 6 2 3 4" xfId="446"/>
    <cellStyle name="20% - Accent1 6 2 3 4 2" xfId="14626"/>
    <cellStyle name="20% - Accent1 6 2 3 4 2 2" xfId="28175"/>
    <cellStyle name="20% - Accent1 6 2 3 4 3" xfId="17769"/>
    <cellStyle name="20% - Accent1 6 2 3 5" xfId="447"/>
    <cellStyle name="20% - Accent1 6 2 3 5 2" xfId="16692"/>
    <cellStyle name="20% - Accent1 6 2 3 5 2 2" xfId="30099"/>
    <cellStyle name="20% - Accent1 6 2 3 5 3" xfId="17770"/>
    <cellStyle name="20% - Accent1 6 2 3 6" xfId="8879"/>
    <cellStyle name="20% - Accent1 6 2 3 6 2" xfId="23354"/>
    <cellStyle name="20% - Accent1 6 2 3 7" xfId="17766"/>
    <cellStyle name="20% - Accent1 6 2 4" xfId="448"/>
    <cellStyle name="20% - Accent1 6 2 4 2" xfId="449"/>
    <cellStyle name="20% - Accent1 6 2 4 2 2" xfId="14627"/>
    <cellStyle name="20% - Accent1 6 2 4 2 2 2" xfId="28176"/>
    <cellStyle name="20% - Accent1 6 2 4 2 3" xfId="17772"/>
    <cellStyle name="20% - Accent1 6 2 4 3" xfId="10601"/>
    <cellStyle name="20% - Accent1 6 2 4 3 2" xfId="24543"/>
    <cellStyle name="20% - Accent1 6 2 4 4" xfId="17771"/>
    <cellStyle name="20% - Accent1 6 2 5" xfId="450"/>
    <cellStyle name="20% - Accent1 6 2 5 2" xfId="12069"/>
    <cellStyle name="20% - Accent1 6 2 5 2 2" xfId="25784"/>
    <cellStyle name="20% - Accent1 6 2 5 3" xfId="17773"/>
    <cellStyle name="20% - Accent1 6 2 6" xfId="451"/>
    <cellStyle name="20% - Accent1 6 2 6 2" xfId="12565"/>
    <cellStyle name="20% - Accent1 6 2 6 2 2" xfId="26277"/>
    <cellStyle name="20% - Accent1 6 2 6 3" xfId="17774"/>
    <cellStyle name="20% - Accent1 6 2 7" xfId="452"/>
    <cellStyle name="20% - Accent1 6 2 7 2" xfId="13644"/>
    <cellStyle name="20% - Accent1 6 2 7 2 2" xfId="27193"/>
    <cellStyle name="20% - Accent1 6 2 7 3" xfId="17775"/>
    <cellStyle name="20% - Accent1 6 2 8" xfId="453"/>
    <cellStyle name="20% - Accent1 6 2 8 2" xfId="14225"/>
    <cellStyle name="20% - Accent1 6 2 8 2 2" xfId="27774"/>
    <cellStyle name="20% - Accent1 6 2 8 3" xfId="17776"/>
    <cellStyle name="20% - Accent1 6 2 9" xfId="454"/>
    <cellStyle name="20% - Accent1 6 2 9 2" xfId="14622"/>
    <cellStyle name="20% - Accent1 6 2 9 2 2" xfId="28171"/>
    <cellStyle name="20% - Accent1 6 2 9 3" xfId="17777"/>
    <cellStyle name="20% - Accent1 6 3" xfId="455"/>
    <cellStyle name="20% - Accent1 6 3 10" xfId="8880"/>
    <cellStyle name="20% - Accent1 6 3 10 2" xfId="23355"/>
    <cellStyle name="20% - Accent1 6 3 11" xfId="17778"/>
    <cellStyle name="20% - Accent1 6 3 2" xfId="456"/>
    <cellStyle name="20% - Accent1 6 3 2 2" xfId="457"/>
    <cellStyle name="20% - Accent1 6 3 2 2 2" xfId="10606"/>
    <cellStyle name="20% - Accent1 6 3 2 2 2 2" xfId="24548"/>
    <cellStyle name="20% - Accent1 6 3 2 2 3" xfId="17780"/>
    <cellStyle name="20% - Accent1 6 3 2 3" xfId="458"/>
    <cellStyle name="20% - Accent1 6 3 2 3 2" xfId="12537"/>
    <cellStyle name="20% - Accent1 6 3 2 3 2 2" xfId="26249"/>
    <cellStyle name="20% - Accent1 6 3 2 3 3" xfId="17781"/>
    <cellStyle name="20% - Accent1 6 3 2 4" xfId="459"/>
    <cellStyle name="20% - Accent1 6 3 2 4 2" xfId="14629"/>
    <cellStyle name="20% - Accent1 6 3 2 4 2 2" xfId="28178"/>
    <cellStyle name="20% - Accent1 6 3 2 4 3" xfId="17782"/>
    <cellStyle name="20% - Accent1 6 3 2 5" xfId="460"/>
    <cellStyle name="20% - Accent1 6 3 2 5 2" xfId="16838"/>
    <cellStyle name="20% - Accent1 6 3 2 5 2 2" xfId="30245"/>
    <cellStyle name="20% - Accent1 6 3 2 5 3" xfId="17783"/>
    <cellStyle name="20% - Accent1 6 3 2 6" xfId="8881"/>
    <cellStyle name="20% - Accent1 6 3 2 6 2" xfId="23356"/>
    <cellStyle name="20% - Accent1 6 3 2 7" xfId="17779"/>
    <cellStyle name="20% - Accent1 6 3 3" xfId="461"/>
    <cellStyle name="20% - Accent1 6 3 3 2" xfId="462"/>
    <cellStyle name="20% - Accent1 6 3 3 2 2" xfId="14630"/>
    <cellStyle name="20% - Accent1 6 3 3 2 2 2" xfId="28179"/>
    <cellStyle name="20% - Accent1 6 3 3 2 3" xfId="17785"/>
    <cellStyle name="20% - Accent1 6 3 3 3" xfId="10605"/>
    <cellStyle name="20% - Accent1 6 3 3 3 2" xfId="24547"/>
    <cellStyle name="20% - Accent1 6 3 3 4" xfId="17784"/>
    <cellStyle name="20% - Accent1 6 3 4" xfId="463"/>
    <cellStyle name="20% - Accent1 6 3 4 2" xfId="12226"/>
    <cellStyle name="20% - Accent1 6 3 4 2 2" xfId="25938"/>
    <cellStyle name="20% - Accent1 6 3 4 3" xfId="17786"/>
    <cellStyle name="20% - Accent1 6 3 5" xfId="464"/>
    <cellStyle name="20% - Accent1 6 3 5 2" xfId="12510"/>
    <cellStyle name="20% - Accent1 6 3 5 2 2" xfId="26222"/>
    <cellStyle name="20% - Accent1 6 3 5 3" xfId="17787"/>
    <cellStyle name="20% - Accent1 6 3 6" xfId="465"/>
    <cellStyle name="20% - Accent1 6 3 6 2" xfId="13790"/>
    <cellStyle name="20% - Accent1 6 3 6 2 2" xfId="27339"/>
    <cellStyle name="20% - Accent1 6 3 6 3" xfId="17788"/>
    <cellStyle name="20% - Accent1 6 3 7" xfId="466"/>
    <cellStyle name="20% - Accent1 6 3 7 2" xfId="14371"/>
    <cellStyle name="20% - Accent1 6 3 7 2 2" xfId="27920"/>
    <cellStyle name="20% - Accent1 6 3 7 3" xfId="17789"/>
    <cellStyle name="20% - Accent1 6 3 8" xfId="467"/>
    <cellStyle name="20% - Accent1 6 3 8 2" xfId="14628"/>
    <cellStyle name="20% - Accent1 6 3 8 2 2" xfId="28177"/>
    <cellStyle name="20% - Accent1 6 3 8 3" xfId="17790"/>
    <cellStyle name="20% - Accent1 6 3 9" xfId="468"/>
    <cellStyle name="20% - Accent1 6 3 9 2" xfId="16257"/>
    <cellStyle name="20% - Accent1 6 3 9 2 2" xfId="29664"/>
    <cellStyle name="20% - Accent1 6 3 9 3" xfId="17791"/>
    <cellStyle name="20% - Accent1 6 4" xfId="469"/>
    <cellStyle name="20% - Accent1 6 4 2" xfId="470"/>
    <cellStyle name="20% - Accent1 6 4 2 2" xfId="10607"/>
    <cellStyle name="20% - Accent1 6 4 2 2 2" xfId="24549"/>
    <cellStyle name="20% - Accent1 6 4 2 3" xfId="17793"/>
    <cellStyle name="20% - Accent1 6 4 3" xfId="471"/>
    <cellStyle name="20% - Accent1 6 4 3 2" xfId="12481"/>
    <cellStyle name="20% - Accent1 6 4 3 2 2" xfId="26193"/>
    <cellStyle name="20% - Accent1 6 4 3 3" xfId="17794"/>
    <cellStyle name="20% - Accent1 6 4 4" xfId="472"/>
    <cellStyle name="20% - Accent1 6 4 4 2" xfId="14631"/>
    <cellStyle name="20% - Accent1 6 4 4 2 2" xfId="28180"/>
    <cellStyle name="20% - Accent1 6 4 4 3" xfId="17795"/>
    <cellStyle name="20% - Accent1 6 4 5" xfId="473"/>
    <cellStyle name="20% - Accent1 6 4 5 2" xfId="16549"/>
    <cellStyle name="20% - Accent1 6 4 5 2 2" xfId="29956"/>
    <cellStyle name="20% - Accent1 6 4 5 3" xfId="17796"/>
    <cellStyle name="20% - Accent1 6 4 6" xfId="8882"/>
    <cellStyle name="20% - Accent1 6 4 6 2" xfId="23357"/>
    <cellStyle name="20% - Accent1 6 4 7" xfId="17792"/>
    <cellStyle name="20% - Accent1 6 5" xfId="474"/>
    <cellStyle name="20% - Accent1 6 5 2" xfId="475"/>
    <cellStyle name="20% - Accent1 6 5 2 2" xfId="14632"/>
    <cellStyle name="20% - Accent1 6 5 2 2 2" xfId="28181"/>
    <cellStyle name="20% - Accent1 6 5 2 3" xfId="17798"/>
    <cellStyle name="20% - Accent1 6 5 3" xfId="10600"/>
    <cellStyle name="20% - Accent1 6 5 3 2" xfId="24542"/>
    <cellStyle name="20% - Accent1 6 5 4" xfId="17797"/>
    <cellStyle name="20% - Accent1 6 6" xfId="476"/>
    <cellStyle name="20% - Accent1 6 6 2" xfId="11924"/>
    <cellStyle name="20% - Accent1 6 6 2 2" xfId="25639"/>
    <cellStyle name="20% - Accent1 6 6 3" xfId="17799"/>
    <cellStyle name="20% - Accent1 6 7" xfId="477"/>
    <cellStyle name="20% - Accent1 6 7 2" xfId="12564"/>
    <cellStyle name="20% - Accent1 6 7 2 2" xfId="26276"/>
    <cellStyle name="20% - Accent1 6 7 3" xfId="17800"/>
    <cellStyle name="20% - Accent1 6 8" xfId="478"/>
    <cellStyle name="20% - Accent1 6 8 2" xfId="13501"/>
    <cellStyle name="20% - Accent1 6 8 2 2" xfId="27050"/>
    <cellStyle name="20% - Accent1 6 8 3" xfId="17801"/>
    <cellStyle name="20% - Accent1 6 9" xfId="479"/>
    <cellStyle name="20% - Accent1 6 9 2" xfId="14082"/>
    <cellStyle name="20% - Accent1 6 9 2 2" xfId="27631"/>
    <cellStyle name="20% - Accent1 6 9 3" xfId="17802"/>
    <cellStyle name="20% - Accent1 7" xfId="480"/>
    <cellStyle name="20% - Accent1 7 10" xfId="481"/>
    <cellStyle name="20% - Accent1 7 10 2" xfId="15988"/>
    <cellStyle name="20% - Accent1 7 10 2 2" xfId="29395"/>
    <cellStyle name="20% - Accent1 7 10 3" xfId="17804"/>
    <cellStyle name="20% - Accent1 7 11" xfId="8883"/>
    <cellStyle name="20% - Accent1 7 11 2" xfId="23358"/>
    <cellStyle name="20% - Accent1 7 12" xfId="17803"/>
    <cellStyle name="20% - Accent1 7 2" xfId="482"/>
    <cellStyle name="20% - Accent1 7 2 10" xfId="8884"/>
    <cellStyle name="20% - Accent1 7 2 10 2" xfId="23359"/>
    <cellStyle name="20% - Accent1 7 2 11" xfId="17805"/>
    <cellStyle name="20% - Accent1 7 2 2" xfId="483"/>
    <cellStyle name="20% - Accent1 7 2 2 2" xfId="484"/>
    <cellStyle name="20% - Accent1 7 2 2 2 2" xfId="10610"/>
    <cellStyle name="20% - Accent1 7 2 2 2 2 2" xfId="24552"/>
    <cellStyle name="20% - Accent1 7 2 2 2 3" xfId="17807"/>
    <cellStyle name="20% - Accent1 7 2 2 3" xfId="485"/>
    <cellStyle name="20% - Accent1 7 2 2 3 2" xfId="11782"/>
    <cellStyle name="20% - Accent1 7 2 2 3 2 2" xfId="25497"/>
    <cellStyle name="20% - Accent1 7 2 2 3 3" xfId="17808"/>
    <cellStyle name="20% - Accent1 7 2 2 4" xfId="486"/>
    <cellStyle name="20% - Accent1 7 2 2 4 2" xfId="14635"/>
    <cellStyle name="20% - Accent1 7 2 2 4 2 2" xfId="28184"/>
    <cellStyle name="20% - Accent1 7 2 2 4 3" xfId="17809"/>
    <cellStyle name="20% - Accent1 7 2 2 5" xfId="487"/>
    <cellStyle name="20% - Accent1 7 2 2 5 2" xfId="16858"/>
    <cellStyle name="20% - Accent1 7 2 2 5 2 2" xfId="30265"/>
    <cellStyle name="20% - Accent1 7 2 2 5 3" xfId="17810"/>
    <cellStyle name="20% - Accent1 7 2 2 6" xfId="8885"/>
    <cellStyle name="20% - Accent1 7 2 2 6 2" xfId="23360"/>
    <cellStyle name="20% - Accent1 7 2 2 7" xfId="17806"/>
    <cellStyle name="20% - Accent1 7 2 3" xfId="488"/>
    <cellStyle name="20% - Accent1 7 2 3 2" xfId="489"/>
    <cellStyle name="20% - Accent1 7 2 3 2 2" xfId="14636"/>
    <cellStyle name="20% - Accent1 7 2 3 2 2 2" xfId="28185"/>
    <cellStyle name="20% - Accent1 7 2 3 2 3" xfId="17812"/>
    <cellStyle name="20% - Accent1 7 2 3 3" xfId="10609"/>
    <cellStyle name="20% - Accent1 7 2 3 3 2" xfId="24551"/>
    <cellStyle name="20% - Accent1 7 2 3 4" xfId="17811"/>
    <cellStyle name="20% - Accent1 7 2 4" xfId="490"/>
    <cellStyle name="20% - Accent1 7 2 4 2" xfId="12246"/>
    <cellStyle name="20% - Accent1 7 2 4 2 2" xfId="25958"/>
    <cellStyle name="20% - Accent1 7 2 4 3" xfId="17813"/>
    <cellStyle name="20% - Accent1 7 2 5" xfId="491"/>
    <cellStyle name="20% - Accent1 7 2 5 2" xfId="12682"/>
    <cellStyle name="20% - Accent1 7 2 5 2 2" xfId="26394"/>
    <cellStyle name="20% - Accent1 7 2 5 3" xfId="17814"/>
    <cellStyle name="20% - Accent1 7 2 6" xfId="492"/>
    <cellStyle name="20% - Accent1 7 2 6 2" xfId="13810"/>
    <cellStyle name="20% - Accent1 7 2 6 2 2" xfId="27359"/>
    <cellStyle name="20% - Accent1 7 2 6 3" xfId="17815"/>
    <cellStyle name="20% - Accent1 7 2 7" xfId="493"/>
    <cellStyle name="20% - Accent1 7 2 7 2" xfId="14391"/>
    <cellStyle name="20% - Accent1 7 2 7 2 2" xfId="27940"/>
    <cellStyle name="20% - Accent1 7 2 7 3" xfId="17816"/>
    <cellStyle name="20% - Accent1 7 2 8" xfId="494"/>
    <cellStyle name="20% - Accent1 7 2 8 2" xfId="14634"/>
    <cellStyle name="20% - Accent1 7 2 8 2 2" xfId="28183"/>
    <cellStyle name="20% - Accent1 7 2 8 3" xfId="17817"/>
    <cellStyle name="20% - Accent1 7 2 9" xfId="495"/>
    <cellStyle name="20% - Accent1 7 2 9 2" xfId="16277"/>
    <cellStyle name="20% - Accent1 7 2 9 2 2" xfId="29684"/>
    <cellStyle name="20% - Accent1 7 2 9 3" xfId="17818"/>
    <cellStyle name="20% - Accent1 7 3" xfId="496"/>
    <cellStyle name="20% - Accent1 7 3 2" xfId="497"/>
    <cellStyle name="20% - Accent1 7 3 2 2" xfId="10611"/>
    <cellStyle name="20% - Accent1 7 3 2 2 2" xfId="24553"/>
    <cellStyle name="20% - Accent1 7 3 2 3" xfId="17820"/>
    <cellStyle name="20% - Accent1 7 3 3" xfId="498"/>
    <cellStyle name="20% - Accent1 7 3 3 2" xfId="12573"/>
    <cellStyle name="20% - Accent1 7 3 3 2 2" xfId="26285"/>
    <cellStyle name="20% - Accent1 7 3 3 3" xfId="17821"/>
    <cellStyle name="20% - Accent1 7 3 4" xfId="499"/>
    <cellStyle name="20% - Accent1 7 3 4 2" xfId="14637"/>
    <cellStyle name="20% - Accent1 7 3 4 2 2" xfId="28186"/>
    <cellStyle name="20% - Accent1 7 3 4 3" xfId="17822"/>
    <cellStyle name="20% - Accent1 7 3 5" xfId="500"/>
    <cellStyle name="20% - Accent1 7 3 5 2" xfId="16569"/>
    <cellStyle name="20% - Accent1 7 3 5 2 2" xfId="29976"/>
    <cellStyle name="20% - Accent1 7 3 5 3" xfId="17823"/>
    <cellStyle name="20% - Accent1 7 3 6" xfId="8886"/>
    <cellStyle name="20% - Accent1 7 3 6 2" xfId="23361"/>
    <cellStyle name="20% - Accent1 7 3 7" xfId="17819"/>
    <cellStyle name="20% - Accent1 7 4" xfId="501"/>
    <cellStyle name="20% - Accent1 7 4 2" xfId="502"/>
    <cellStyle name="20% - Accent1 7 4 2 2" xfId="14638"/>
    <cellStyle name="20% - Accent1 7 4 2 2 2" xfId="28187"/>
    <cellStyle name="20% - Accent1 7 4 2 3" xfId="17825"/>
    <cellStyle name="20% - Accent1 7 4 3" xfId="10608"/>
    <cellStyle name="20% - Accent1 7 4 3 2" xfId="24550"/>
    <cellStyle name="20% - Accent1 7 4 4" xfId="17824"/>
    <cellStyle name="20% - Accent1 7 5" xfId="503"/>
    <cellStyle name="20% - Accent1 7 5 2" xfId="11944"/>
    <cellStyle name="20% - Accent1 7 5 2 2" xfId="25659"/>
    <cellStyle name="20% - Accent1 7 5 3" xfId="17826"/>
    <cellStyle name="20% - Accent1 7 6" xfId="504"/>
    <cellStyle name="20% - Accent1 7 6 2" xfId="12592"/>
    <cellStyle name="20% - Accent1 7 6 2 2" xfId="26304"/>
    <cellStyle name="20% - Accent1 7 6 3" xfId="17827"/>
    <cellStyle name="20% - Accent1 7 7" xfId="505"/>
    <cellStyle name="20% - Accent1 7 7 2" xfId="13521"/>
    <cellStyle name="20% - Accent1 7 7 2 2" xfId="27070"/>
    <cellStyle name="20% - Accent1 7 7 3" xfId="17828"/>
    <cellStyle name="20% - Accent1 7 8" xfId="506"/>
    <cellStyle name="20% - Accent1 7 8 2" xfId="14102"/>
    <cellStyle name="20% - Accent1 7 8 2 2" xfId="27651"/>
    <cellStyle name="20% - Accent1 7 8 3" xfId="17829"/>
    <cellStyle name="20% - Accent1 7 9" xfId="507"/>
    <cellStyle name="20% - Accent1 7 9 2" xfId="14633"/>
    <cellStyle name="20% - Accent1 7 9 2 2" xfId="28182"/>
    <cellStyle name="20% - Accent1 7 9 3" xfId="17830"/>
    <cellStyle name="20% - Accent1 8" xfId="508"/>
    <cellStyle name="20% - Accent1 8 10" xfId="8887"/>
    <cellStyle name="20% - Accent1 8 10 2" xfId="23362"/>
    <cellStyle name="20% - Accent1 8 11" xfId="17831"/>
    <cellStyle name="20% - Accent1 8 2" xfId="509"/>
    <cellStyle name="20% - Accent1 8 2 2" xfId="510"/>
    <cellStyle name="20% - Accent1 8 2 2 2" xfId="10613"/>
    <cellStyle name="20% - Accent1 8 2 2 2 2" xfId="24555"/>
    <cellStyle name="20% - Accent1 8 2 2 3" xfId="17833"/>
    <cellStyle name="20% - Accent1 8 2 3" xfId="511"/>
    <cellStyle name="20% - Accent1 8 2 3 2" xfId="12714"/>
    <cellStyle name="20% - Accent1 8 2 3 2 2" xfId="26426"/>
    <cellStyle name="20% - Accent1 8 2 3 3" xfId="17834"/>
    <cellStyle name="20% - Accent1 8 2 4" xfId="512"/>
    <cellStyle name="20% - Accent1 8 2 4 2" xfId="14640"/>
    <cellStyle name="20% - Accent1 8 2 4 2 2" xfId="28189"/>
    <cellStyle name="20% - Accent1 8 2 4 3" xfId="17835"/>
    <cellStyle name="20% - Accent1 8 2 5" xfId="513"/>
    <cellStyle name="20% - Accent1 8 2 5 2" xfId="16712"/>
    <cellStyle name="20% - Accent1 8 2 5 2 2" xfId="30119"/>
    <cellStyle name="20% - Accent1 8 2 5 3" xfId="17836"/>
    <cellStyle name="20% - Accent1 8 2 6" xfId="8888"/>
    <cellStyle name="20% - Accent1 8 2 6 2" xfId="23363"/>
    <cellStyle name="20% - Accent1 8 2 7" xfId="17832"/>
    <cellStyle name="20% - Accent1 8 3" xfId="514"/>
    <cellStyle name="20% - Accent1 8 3 2" xfId="515"/>
    <cellStyle name="20% - Accent1 8 3 2 2" xfId="14641"/>
    <cellStyle name="20% - Accent1 8 3 2 2 2" xfId="28190"/>
    <cellStyle name="20% - Accent1 8 3 2 3" xfId="17838"/>
    <cellStyle name="20% - Accent1 8 3 3" xfId="10612"/>
    <cellStyle name="20% - Accent1 8 3 3 2" xfId="24554"/>
    <cellStyle name="20% - Accent1 8 3 4" xfId="17837"/>
    <cellStyle name="20% - Accent1 8 4" xfId="516"/>
    <cellStyle name="20% - Accent1 8 4 2" xfId="12090"/>
    <cellStyle name="20% - Accent1 8 4 2 2" xfId="25804"/>
    <cellStyle name="20% - Accent1 8 4 3" xfId="17839"/>
    <cellStyle name="20% - Accent1 8 5" xfId="517"/>
    <cellStyle name="20% - Accent1 8 5 2" xfId="12580"/>
    <cellStyle name="20% - Accent1 8 5 2 2" xfId="26292"/>
    <cellStyle name="20% - Accent1 8 5 3" xfId="17840"/>
    <cellStyle name="20% - Accent1 8 6" xfId="518"/>
    <cellStyle name="20% - Accent1 8 6 2" xfId="13664"/>
    <cellStyle name="20% - Accent1 8 6 2 2" xfId="27213"/>
    <cellStyle name="20% - Accent1 8 6 3" xfId="17841"/>
    <cellStyle name="20% - Accent1 8 7" xfId="519"/>
    <cellStyle name="20% - Accent1 8 7 2" xfId="14245"/>
    <cellStyle name="20% - Accent1 8 7 2 2" xfId="27794"/>
    <cellStyle name="20% - Accent1 8 7 3" xfId="17842"/>
    <cellStyle name="20% - Accent1 8 8" xfId="520"/>
    <cellStyle name="20% - Accent1 8 8 2" xfId="14639"/>
    <cellStyle name="20% - Accent1 8 8 2 2" xfId="28188"/>
    <cellStyle name="20% - Accent1 8 8 3" xfId="17843"/>
    <cellStyle name="20% - Accent1 8 9" xfId="521"/>
    <cellStyle name="20% - Accent1 8 9 2" xfId="16131"/>
    <cellStyle name="20% - Accent1 8 9 2 2" xfId="29538"/>
    <cellStyle name="20% - Accent1 8 9 3" xfId="17844"/>
    <cellStyle name="20% - Accent1 9" xfId="522"/>
    <cellStyle name="20% - Accent1 9 2" xfId="523"/>
    <cellStyle name="20% - Accent1 9 2 2" xfId="10614"/>
    <cellStyle name="20% - Accent1 9 2 2 2" xfId="24556"/>
    <cellStyle name="20% - Accent1 9 2 3" xfId="17846"/>
    <cellStyle name="20% - Accent1 9 3" xfId="524"/>
    <cellStyle name="20% - Accent1 9 3 2" xfId="12583"/>
    <cellStyle name="20% - Accent1 9 3 2 2" xfId="26295"/>
    <cellStyle name="20% - Accent1 9 3 3" xfId="17847"/>
    <cellStyle name="20% - Accent1 9 4" xfId="525"/>
    <cellStyle name="20% - Accent1 9 4 2" xfId="14642"/>
    <cellStyle name="20% - Accent1 9 4 2 2" xfId="28191"/>
    <cellStyle name="20% - Accent1 9 4 3" xfId="17848"/>
    <cellStyle name="20% - Accent1 9 5" xfId="526"/>
    <cellStyle name="20% - Accent1 9 5 2" xfId="17096"/>
    <cellStyle name="20% - Accent1 9 5 2 2" xfId="30455"/>
    <cellStyle name="20% - Accent1 9 5 3" xfId="17849"/>
    <cellStyle name="20% - Accent1 9 6" xfId="8889"/>
    <cellStyle name="20% - Accent1 9 6 2" xfId="23364"/>
    <cellStyle name="20% - Accent1 9 7" xfId="17845"/>
    <cellStyle name="20% - Accent2" xfId="32" builtinId="34" customBuiltin="1"/>
    <cellStyle name="20% - Accent2 10" xfId="527"/>
    <cellStyle name="20% - Accent2 10 2" xfId="528"/>
    <cellStyle name="20% - Accent2 10 2 2" xfId="529"/>
    <cellStyle name="20% - Accent2 10 2 2 2" xfId="12582"/>
    <cellStyle name="20% - Accent2 10 2 2 2 2" xfId="26294"/>
    <cellStyle name="20% - Accent2 10 2 2 3" xfId="17852"/>
    <cellStyle name="20% - Accent2 10 2 3" xfId="530"/>
    <cellStyle name="20% - Accent2 10 2 3 2" xfId="14645"/>
    <cellStyle name="20% - Accent2 10 2 3 2 2" xfId="28194"/>
    <cellStyle name="20% - Accent2 10 2 3 3" xfId="17853"/>
    <cellStyle name="20% - Accent2 10 2 4" xfId="10616"/>
    <cellStyle name="20% - Accent2 10 2 4 2" xfId="24558"/>
    <cellStyle name="20% - Accent2 10 2 5" xfId="17851"/>
    <cellStyle name="20% - Accent2 10 3" xfId="531"/>
    <cellStyle name="20% - Accent2 10 3 2" xfId="12404"/>
    <cellStyle name="20% - Accent2 10 3 2 2" xfId="26116"/>
    <cellStyle name="20% - Accent2 10 3 3" xfId="17854"/>
    <cellStyle name="20% - Accent2 10 4" xfId="532"/>
    <cellStyle name="20% - Accent2 10 4 2" xfId="14644"/>
    <cellStyle name="20% - Accent2 10 4 2 2" xfId="28193"/>
    <cellStyle name="20% - Accent2 10 4 3" xfId="17855"/>
    <cellStyle name="20% - Accent2 10 5" xfId="533"/>
    <cellStyle name="20% - Accent2 10 5 2" xfId="17186"/>
    <cellStyle name="20% - Accent2 10 5 2 2" xfId="30545"/>
    <cellStyle name="20% - Accent2 10 5 3" xfId="17856"/>
    <cellStyle name="20% - Accent2 10 6" xfId="8891"/>
    <cellStyle name="20% - Accent2 10 6 2" xfId="23366"/>
    <cellStyle name="20% - Accent2 10 7" xfId="17850"/>
    <cellStyle name="20% - Accent2 11" xfId="534"/>
    <cellStyle name="20% - Accent2 11 2" xfId="535"/>
    <cellStyle name="20% - Accent2 11 2 2" xfId="10617"/>
    <cellStyle name="20% - Accent2 11 2 2 2" xfId="24559"/>
    <cellStyle name="20% - Accent2 11 2 3" xfId="17858"/>
    <cellStyle name="20% - Accent2 11 3" xfId="536"/>
    <cellStyle name="20% - Accent2 11 3 2" xfId="12538"/>
    <cellStyle name="20% - Accent2 11 3 2 2" xfId="26250"/>
    <cellStyle name="20% - Accent2 11 3 3" xfId="17859"/>
    <cellStyle name="20% - Accent2 11 4" xfId="537"/>
    <cellStyle name="20% - Accent2 11 4 2" xfId="14646"/>
    <cellStyle name="20% - Accent2 11 4 2 2" xfId="28195"/>
    <cellStyle name="20% - Accent2 11 4 3" xfId="17860"/>
    <cellStyle name="20% - Accent2 11 5" xfId="538"/>
    <cellStyle name="20% - Accent2 11 5 2" xfId="17275"/>
    <cellStyle name="20% - Accent2 11 5 2 2" xfId="30634"/>
    <cellStyle name="20% - Accent2 11 5 3" xfId="17861"/>
    <cellStyle name="20% - Accent2 11 6" xfId="8892"/>
    <cellStyle name="20% - Accent2 11 6 2" xfId="23367"/>
    <cellStyle name="20% - Accent2 11 7" xfId="17857"/>
    <cellStyle name="20% - Accent2 12" xfId="539"/>
    <cellStyle name="20% - Accent2 12 2" xfId="540"/>
    <cellStyle name="20% - Accent2 12 2 2" xfId="541"/>
    <cellStyle name="20% - Accent2 12 2 2 2" xfId="10619"/>
    <cellStyle name="20% - Accent2 12 2 2 2 2" xfId="24561"/>
    <cellStyle name="20% - Accent2 12 2 2 3" xfId="17864"/>
    <cellStyle name="20% - Accent2 12 2 3" xfId="542"/>
    <cellStyle name="20% - Accent2 12 2 3 2" xfId="12456"/>
    <cellStyle name="20% - Accent2 12 2 3 2 2" xfId="26168"/>
    <cellStyle name="20% - Accent2 12 2 3 3" xfId="17865"/>
    <cellStyle name="20% - Accent2 12 2 4" xfId="543"/>
    <cellStyle name="20% - Accent2 12 2 4 2" xfId="14648"/>
    <cellStyle name="20% - Accent2 12 2 4 2 2" xfId="28197"/>
    <cellStyle name="20% - Accent2 12 2 4 3" xfId="17866"/>
    <cellStyle name="20% - Accent2 12 2 5" xfId="8894"/>
    <cellStyle name="20% - Accent2 12 2 5 2" xfId="23369"/>
    <cellStyle name="20% - Accent2 12 2 6" xfId="17863"/>
    <cellStyle name="20% - Accent2 12 3" xfId="544"/>
    <cellStyle name="20% - Accent2 12 3 2" xfId="10618"/>
    <cellStyle name="20% - Accent2 12 3 2 2" xfId="24560"/>
    <cellStyle name="20% - Accent2 12 3 3" xfId="17867"/>
    <cellStyle name="20% - Accent2 12 4" xfId="545"/>
    <cellStyle name="20% - Accent2 12 4 2" xfId="12558"/>
    <cellStyle name="20% - Accent2 12 4 2 2" xfId="26270"/>
    <cellStyle name="20% - Accent2 12 4 3" xfId="17868"/>
    <cellStyle name="20% - Accent2 12 5" xfId="546"/>
    <cellStyle name="20% - Accent2 12 5 2" xfId="14647"/>
    <cellStyle name="20% - Accent2 12 5 2 2" xfId="28196"/>
    <cellStyle name="20% - Accent2 12 5 3" xfId="17869"/>
    <cellStyle name="20% - Accent2 12 6" xfId="547"/>
    <cellStyle name="20% - Accent2 12 6 2" xfId="16427"/>
    <cellStyle name="20% - Accent2 12 6 2 2" xfId="29834"/>
    <cellStyle name="20% - Accent2 12 6 3" xfId="17870"/>
    <cellStyle name="20% - Accent2 12 7" xfId="8893"/>
    <cellStyle name="20% - Accent2 12 7 2" xfId="23368"/>
    <cellStyle name="20% - Accent2 12 8" xfId="17862"/>
    <cellStyle name="20% - Accent2 13" xfId="548"/>
    <cellStyle name="20% - Accent2 13 2" xfId="549"/>
    <cellStyle name="20% - Accent2 13 2 2" xfId="10620"/>
    <cellStyle name="20% - Accent2 13 2 2 2" xfId="24562"/>
    <cellStyle name="20% - Accent2 13 2 3" xfId="17872"/>
    <cellStyle name="20% - Accent2 13 3" xfId="550"/>
    <cellStyle name="20% - Accent2 13 3 2" xfId="12560"/>
    <cellStyle name="20% - Accent2 13 3 2 2" xfId="26272"/>
    <cellStyle name="20% - Accent2 13 3 3" xfId="17873"/>
    <cellStyle name="20% - Accent2 13 4" xfId="551"/>
    <cellStyle name="20% - Accent2 13 4 2" xfId="14649"/>
    <cellStyle name="20% - Accent2 13 4 2 2" xfId="28198"/>
    <cellStyle name="20% - Accent2 13 4 3" xfId="17874"/>
    <cellStyle name="20% - Accent2 13 5" xfId="8895"/>
    <cellStyle name="20% - Accent2 13 5 2" xfId="23370"/>
    <cellStyle name="20% - Accent2 13 6" xfId="17871"/>
    <cellStyle name="20% - Accent2 14" xfId="552"/>
    <cellStyle name="20% - Accent2 14 2" xfId="553"/>
    <cellStyle name="20% - Accent2 14 2 2" xfId="10621"/>
    <cellStyle name="20% - Accent2 14 2 2 2" xfId="24563"/>
    <cellStyle name="20% - Accent2 14 2 3" xfId="17876"/>
    <cellStyle name="20% - Accent2 14 3" xfId="554"/>
    <cellStyle name="20% - Accent2 14 3 2" xfId="12776"/>
    <cellStyle name="20% - Accent2 14 3 2 2" xfId="26488"/>
    <cellStyle name="20% - Accent2 14 3 3" xfId="17877"/>
    <cellStyle name="20% - Accent2 14 4" xfId="555"/>
    <cellStyle name="20% - Accent2 14 4 2" xfId="14650"/>
    <cellStyle name="20% - Accent2 14 4 2 2" xfId="28199"/>
    <cellStyle name="20% - Accent2 14 4 3" xfId="17878"/>
    <cellStyle name="20% - Accent2 14 5" xfId="8896"/>
    <cellStyle name="20% - Accent2 14 5 2" xfId="23371"/>
    <cellStyle name="20% - Accent2 14 6" xfId="17875"/>
    <cellStyle name="20% - Accent2 15" xfId="556"/>
    <cellStyle name="20% - Accent2 15 2" xfId="557"/>
    <cellStyle name="20% - Accent2 15 2 2" xfId="10622"/>
    <cellStyle name="20% - Accent2 15 2 2 2" xfId="24564"/>
    <cellStyle name="20% - Accent2 15 2 3" xfId="17880"/>
    <cellStyle name="20% - Accent2 15 3" xfId="558"/>
    <cellStyle name="20% - Accent2 15 3 2" xfId="12665"/>
    <cellStyle name="20% - Accent2 15 3 2 2" xfId="26377"/>
    <cellStyle name="20% - Accent2 15 3 3" xfId="17881"/>
    <cellStyle name="20% - Accent2 15 4" xfId="559"/>
    <cellStyle name="20% - Accent2 15 4 2" xfId="14651"/>
    <cellStyle name="20% - Accent2 15 4 2 2" xfId="28200"/>
    <cellStyle name="20% - Accent2 15 4 3" xfId="17882"/>
    <cellStyle name="20% - Accent2 15 5" xfId="8897"/>
    <cellStyle name="20% - Accent2 15 5 2" xfId="23372"/>
    <cellStyle name="20% - Accent2 15 6" xfId="17879"/>
    <cellStyle name="20% - Accent2 16" xfId="560"/>
    <cellStyle name="20% - Accent2 16 2" xfId="561"/>
    <cellStyle name="20% - Accent2 16 2 2" xfId="10623"/>
    <cellStyle name="20% - Accent2 16 2 2 2" xfId="24565"/>
    <cellStyle name="20% - Accent2 16 2 3" xfId="17884"/>
    <cellStyle name="20% - Accent2 16 3" xfId="562"/>
    <cellStyle name="20% - Accent2 16 3 2" xfId="12417"/>
    <cellStyle name="20% - Accent2 16 3 2 2" xfId="26129"/>
    <cellStyle name="20% - Accent2 16 3 3" xfId="17885"/>
    <cellStyle name="20% - Accent2 16 4" xfId="563"/>
    <cellStyle name="20% - Accent2 16 4 2" xfId="14652"/>
    <cellStyle name="20% - Accent2 16 4 2 2" xfId="28201"/>
    <cellStyle name="20% - Accent2 16 4 3" xfId="17886"/>
    <cellStyle name="20% - Accent2 16 5" xfId="8898"/>
    <cellStyle name="20% - Accent2 16 5 2" xfId="23373"/>
    <cellStyle name="20% - Accent2 16 6" xfId="17883"/>
    <cellStyle name="20% - Accent2 17" xfId="564"/>
    <cellStyle name="20% - Accent2 17 2" xfId="565"/>
    <cellStyle name="20% - Accent2 17 2 2" xfId="10624"/>
    <cellStyle name="20% - Accent2 17 2 2 2" xfId="24566"/>
    <cellStyle name="20% - Accent2 17 2 3" xfId="17888"/>
    <cellStyle name="20% - Accent2 17 3" xfId="566"/>
    <cellStyle name="20% - Accent2 17 3 2" xfId="12525"/>
    <cellStyle name="20% - Accent2 17 3 2 2" xfId="26237"/>
    <cellStyle name="20% - Accent2 17 3 3" xfId="17889"/>
    <cellStyle name="20% - Accent2 17 4" xfId="567"/>
    <cellStyle name="20% - Accent2 17 4 2" xfId="14653"/>
    <cellStyle name="20% - Accent2 17 4 2 2" xfId="28202"/>
    <cellStyle name="20% - Accent2 17 4 3" xfId="17890"/>
    <cellStyle name="20% - Accent2 17 5" xfId="8899"/>
    <cellStyle name="20% - Accent2 17 5 2" xfId="23374"/>
    <cellStyle name="20% - Accent2 17 6" xfId="17887"/>
    <cellStyle name="20% - Accent2 18" xfId="568"/>
    <cellStyle name="20% - Accent2 18 2" xfId="569"/>
    <cellStyle name="20% - Accent2 18 2 2" xfId="10625"/>
    <cellStyle name="20% - Accent2 18 2 2 2" xfId="24567"/>
    <cellStyle name="20% - Accent2 18 2 3" xfId="17892"/>
    <cellStyle name="20% - Accent2 18 3" xfId="570"/>
    <cellStyle name="20% - Accent2 18 3 2" xfId="12740"/>
    <cellStyle name="20% - Accent2 18 3 2 2" xfId="26452"/>
    <cellStyle name="20% - Accent2 18 3 3" xfId="17893"/>
    <cellStyle name="20% - Accent2 18 4" xfId="571"/>
    <cellStyle name="20% - Accent2 18 4 2" xfId="14654"/>
    <cellStyle name="20% - Accent2 18 4 2 2" xfId="28203"/>
    <cellStyle name="20% - Accent2 18 4 3" xfId="17894"/>
    <cellStyle name="20% - Accent2 18 5" xfId="8900"/>
    <cellStyle name="20% - Accent2 18 5 2" xfId="23375"/>
    <cellStyle name="20% - Accent2 18 6" xfId="17891"/>
    <cellStyle name="20% - Accent2 19" xfId="572"/>
    <cellStyle name="20% - Accent2 19 2" xfId="573"/>
    <cellStyle name="20% - Accent2 19 2 2" xfId="11711"/>
    <cellStyle name="20% - Accent2 19 2 2 2" xfId="25431"/>
    <cellStyle name="20% - Accent2 19 2 3" xfId="17896"/>
    <cellStyle name="20% - Accent2 19 3" xfId="574"/>
    <cellStyle name="20% - Accent2 19 3 2" xfId="12630"/>
    <cellStyle name="20% - Accent2 19 3 2 2" xfId="26342"/>
    <cellStyle name="20% - Accent2 19 3 3" xfId="17897"/>
    <cellStyle name="20% - Accent2 19 4" xfId="575"/>
    <cellStyle name="20% - Accent2 19 4 2" xfId="14655"/>
    <cellStyle name="20% - Accent2 19 4 2 2" xfId="28204"/>
    <cellStyle name="20% - Accent2 19 4 3" xfId="17898"/>
    <cellStyle name="20% - Accent2 19 5" xfId="10463"/>
    <cellStyle name="20% - Accent2 19 5 2" xfId="24422"/>
    <cellStyle name="20% - Accent2 19 6" xfId="17895"/>
    <cellStyle name="20% - Accent2 2" xfId="576"/>
    <cellStyle name="20% - Accent2 2 10" xfId="577"/>
    <cellStyle name="20% - Accent2 2 10 2" xfId="578"/>
    <cellStyle name="20% - Accent2 2 10 2 2" xfId="14657"/>
    <cellStyle name="20% - Accent2 2 10 2 2 2" xfId="28206"/>
    <cellStyle name="20% - Accent2 2 10 2 3" xfId="17901"/>
    <cellStyle name="20% - Accent2 2 10 3" xfId="11838"/>
    <cellStyle name="20% - Accent2 2 10 3 2" xfId="25553"/>
    <cellStyle name="20% - Accent2 2 10 4" xfId="17900"/>
    <cellStyle name="20% - Accent2 2 11" xfId="579"/>
    <cellStyle name="20% - Accent2 2 11 2" xfId="11764"/>
    <cellStyle name="20% - Accent2 2 11 2 2" xfId="25479"/>
    <cellStyle name="20% - Accent2 2 11 3" xfId="17902"/>
    <cellStyle name="20% - Accent2 2 12" xfId="580"/>
    <cellStyle name="20% - Accent2 2 12 2" xfId="13437"/>
    <cellStyle name="20% - Accent2 2 12 2 2" xfId="26986"/>
    <cellStyle name="20% - Accent2 2 12 3" xfId="17903"/>
    <cellStyle name="20% - Accent2 2 13" xfId="581"/>
    <cellStyle name="20% - Accent2 2 13 2" xfId="14018"/>
    <cellStyle name="20% - Accent2 2 13 2 2" xfId="27567"/>
    <cellStyle name="20% - Accent2 2 13 3" xfId="17904"/>
    <cellStyle name="20% - Accent2 2 14" xfId="582"/>
    <cellStyle name="20% - Accent2 2 14 2" xfId="14656"/>
    <cellStyle name="20% - Accent2 2 14 2 2" xfId="28205"/>
    <cellStyle name="20% - Accent2 2 14 3" xfId="17905"/>
    <cellStyle name="20% - Accent2 2 15" xfId="583"/>
    <cellStyle name="20% - Accent2 2 15 2" xfId="15904"/>
    <cellStyle name="20% - Accent2 2 15 2 2" xfId="29311"/>
    <cellStyle name="20% - Accent2 2 15 3" xfId="17906"/>
    <cellStyle name="20% - Accent2 2 16" xfId="8901"/>
    <cellStyle name="20% - Accent2 2 16 2" xfId="23376"/>
    <cellStyle name="20% - Accent2 2 17" xfId="17899"/>
    <cellStyle name="20% - Accent2 2 18" xfId="33066"/>
    <cellStyle name="20% - Accent2 2 2" xfId="584"/>
    <cellStyle name="20% - Accent2 2 2 10" xfId="585"/>
    <cellStyle name="20% - Accent2 2 2 10 2" xfId="14658"/>
    <cellStyle name="20% - Accent2 2 2 10 2 2" xfId="28207"/>
    <cellStyle name="20% - Accent2 2 2 10 3" xfId="17908"/>
    <cellStyle name="20% - Accent2 2 2 11" xfId="586"/>
    <cellStyle name="20% - Accent2 2 2 11 2" xfId="15950"/>
    <cellStyle name="20% - Accent2 2 2 11 2 2" xfId="29357"/>
    <cellStyle name="20% - Accent2 2 2 11 3" xfId="17909"/>
    <cellStyle name="20% - Accent2 2 2 12" xfId="8902"/>
    <cellStyle name="20% - Accent2 2 2 12 2" xfId="23377"/>
    <cellStyle name="20% - Accent2 2 2 13" xfId="17907"/>
    <cellStyle name="20% - Accent2 2 2 2" xfId="587"/>
    <cellStyle name="20% - Accent2 2 2 2 10" xfId="588"/>
    <cellStyle name="20% - Accent2 2 2 2 10 2" xfId="16093"/>
    <cellStyle name="20% - Accent2 2 2 2 10 2 2" xfId="29500"/>
    <cellStyle name="20% - Accent2 2 2 2 10 3" xfId="17911"/>
    <cellStyle name="20% - Accent2 2 2 2 11" xfId="8903"/>
    <cellStyle name="20% - Accent2 2 2 2 11 2" xfId="23378"/>
    <cellStyle name="20% - Accent2 2 2 2 12" xfId="17910"/>
    <cellStyle name="20% - Accent2 2 2 2 2" xfId="589"/>
    <cellStyle name="20% - Accent2 2 2 2 2 10" xfId="8904"/>
    <cellStyle name="20% - Accent2 2 2 2 2 10 2" xfId="23379"/>
    <cellStyle name="20% - Accent2 2 2 2 2 11" xfId="17912"/>
    <cellStyle name="20% - Accent2 2 2 2 2 2" xfId="590"/>
    <cellStyle name="20% - Accent2 2 2 2 2 2 2" xfId="591"/>
    <cellStyle name="20% - Accent2 2 2 2 2 2 2 2" xfId="10630"/>
    <cellStyle name="20% - Accent2 2 2 2 2 2 2 2 2" xfId="24572"/>
    <cellStyle name="20% - Accent2 2 2 2 2 2 2 3" xfId="17914"/>
    <cellStyle name="20% - Accent2 2 2 2 2 2 3" xfId="592"/>
    <cellStyle name="20% - Accent2 2 2 2 2 2 3 2" xfId="12662"/>
    <cellStyle name="20% - Accent2 2 2 2 2 2 3 2 2" xfId="26374"/>
    <cellStyle name="20% - Accent2 2 2 2 2 2 3 3" xfId="17915"/>
    <cellStyle name="20% - Accent2 2 2 2 2 2 4" xfId="593"/>
    <cellStyle name="20% - Accent2 2 2 2 2 2 4 2" xfId="14661"/>
    <cellStyle name="20% - Accent2 2 2 2 2 2 4 2 2" xfId="28210"/>
    <cellStyle name="20% - Accent2 2 2 2 2 2 4 3" xfId="17916"/>
    <cellStyle name="20% - Accent2 2 2 2 2 2 5" xfId="594"/>
    <cellStyle name="20% - Accent2 2 2 2 2 2 5 2" xfId="16963"/>
    <cellStyle name="20% - Accent2 2 2 2 2 2 5 2 2" xfId="30370"/>
    <cellStyle name="20% - Accent2 2 2 2 2 2 5 3" xfId="17917"/>
    <cellStyle name="20% - Accent2 2 2 2 2 2 6" xfId="8905"/>
    <cellStyle name="20% - Accent2 2 2 2 2 2 6 2" xfId="23380"/>
    <cellStyle name="20% - Accent2 2 2 2 2 2 7" xfId="17913"/>
    <cellStyle name="20% - Accent2 2 2 2 2 3" xfId="595"/>
    <cellStyle name="20% - Accent2 2 2 2 2 3 2" xfId="596"/>
    <cellStyle name="20% - Accent2 2 2 2 2 3 2 2" xfId="14662"/>
    <cellStyle name="20% - Accent2 2 2 2 2 3 2 2 2" xfId="28211"/>
    <cellStyle name="20% - Accent2 2 2 2 2 3 2 3" xfId="17919"/>
    <cellStyle name="20% - Accent2 2 2 2 2 3 3" xfId="10629"/>
    <cellStyle name="20% - Accent2 2 2 2 2 3 3 2" xfId="24571"/>
    <cellStyle name="20% - Accent2 2 2 2 2 3 4" xfId="17918"/>
    <cellStyle name="20% - Accent2 2 2 2 2 4" xfId="597"/>
    <cellStyle name="20% - Accent2 2 2 2 2 4 2" xfId="12351"/>
    <cellStyle name="20% - Accent2 2 2 2 2 4 2 2" xfId="26063"/>
    <cellStyle name="20% - Accent2 2 2 2 2 4 3" xfId="17920"/>
    <cellStyle name="20% - Accent2 2 2 2 2 5" xfId="598"/>
    <cellStyle name="20% - Accent2 2 2 2 2 5 2" xfId="12790"/>
    <cellStyle name="20% - Accent2 2 2 2 2 5 2 2" xfId="26502"/>
    <cellStyle name="20% - Accent2 2 2 2 2 5 3" xfId="17921"/>
    <cellStyle name="20% - Accent2 2 2 2 2 6" xfId="599"/>
    <cellStyle name="20% - Accent2 2 2 2 2 6 2" xfId="13915"/>
    <cellStyle name="20% - Accent2 2 2 2 2 6 2 2" xfId="27464"/>
    <cellStyle name="20% - Accent2 2 2 2 2 6 3" xfId="17922"/>
    <cellStyle name="20% - Accent2 2 2 2 2 7" xfId="600"/>
    <cellStyle name="20% - Accent2 2 2 2 2 7 2" xfId="14496"/>
    <cellStyle name="20% - Accent2 2 2 2 2 7 2 2" xfId="28045"/>
    <cellStyle name="20% - Accent2 2 2 2 2 7 3" xfId="17923"/>
    <cellStyle name="20% - Accent2 2 2 2 2 8" xfId="601"/>
    <cellStyle name="20% - Accent2 2 2 2 2 8 2" xfId="14660"/>
    <cellStyle name="20% - Accent2 2 2 2 2 8 2 2" xfId="28209"/>
    <cellStyle name="20% - Accent2 2 2 2 2 8 3" xfId="17924"/>
    <cellStyle name="20% - Accent2 2 2 2 2 9" xfId="602"/>
    <cellStyle name="20% - Accent2 2 2 2 2 9 2" xfId="16382"/>
    <cellStyle name="20% - Accent2 2 2 2 2 9 2 2" xfId="29789"/>
    <cellStyle name="20% - Accent2 2 2 2 2 9 3" xfId="17925"/>
    <cellStyle name="20% - Accent2 2 2 2 3" xfId="603"/>
    <cellStyle name="20% - Accent2 2 2 2 3 2" xfId="604"/>
    <cellStyle name="20% - Accent2 2 2 2 3 2 2" xfId="10631"/>
    <cellStyle name="20% - Accent2 2 2 2 3 2 2 2" xfId="24573"/>
    <cellStyle name="20% - Accent2 2 2 2 3 2 3" xfId="17927"/>
    <cellStyle name="20% - Accent2 2 2 2 3 3" xfId="605"/>
    <cellStyle name="20% - Accent2 2 2 2 3 3 2" xfId="12557"/>
    <cellStyle name="20% - Accent2 2 2 2 3 3 2 2" xfId="26269"/>
    <cellStyle name="20% - Accent2 2 2 2 3 3 3" xfId="17928"/>
    <cellStyle name="20% - Accent2 2 2 2 3 4" xfId="606"/>
    <cellStyle name="20% - Accent2 2 2 2 3 4 2" xfId="14663"/>
    <cellStyle name="20% - Accent2 2 2 2 3 4 2 2" xfId="28212"/>
    <cellStyle name="20% - Accent2 2 2 2 3 4 3" xfId="17929"/>
    <cellStyle name="20% - Accent2 2 2 2 3 5" xfId="607"/>
    <cellStyle name="20% - Accent2 2 2 2 3 5 2" xfId="16674"/>
    <cellStyle name="20% - Accent2 2 2 2 3 5 2 2" xfId="30081"/>
    <cellStyle name="20% - Accent2 2 2 2 3 5 3" xfId="17930"/>
    <cellStyle name="20% - Accent2 2 2 2 3 6" xfId="8906"/>
    <cellStyle name="20% - Accent2 2 2 2 3 6 2" xfId="23381"/>
    <cellStyle name="20% - Accent2 2 2 2 3 7" xfId="17926"/>
    <cellStyle name="20% - Accent2 2 2 2 4" xfId="608"/>
    <cellStyle name="20% - Accent2 2 2 2 4 2" xfId="609"/>
    <cellStyle name="20% - Accent2 2 2 2 4 2 2" xfId="14664"/>
    <cellStyle name="20% - Accent2 2 2 2 4 2 2 2" xfId="28213"/>
    <cellStyle name="20% - Accent2 2 2 2 4 2 3" xfId="17932"/>
    <cellStyle name="20% - Accent2 2 2 2 4 3" xfId="10628"/>
    <cellStyle name="20% - Accent2 2 2 2 4 3 2" xfId="24570"/>
    <cellStyle name="20% - Accent2 2 2 2 4 4" xfId="17931"/>
    <cellStyle name="20% - Accent2 2 2 2 5" xfId="610"/>
    <cellStyle name="20% - Accent2 2 2 2 5 2" xfId="12051"/>
    <cellStyle name="20% - Accent2 2 2 2 5 2 2" xfId="25766"/>
    <cellStyle name="20% - Accent2 2 2 2 5 3" xfId="17933"/>
    <cellStyle name="20% - Accent2 2 2 2 6" xfId="611"/>
    <cellStyle name="20% - Accent2 2 2 2 6 2" xfId="12760"/>
    <cellStyle name="20% - Accent2 2 2 2 6 2 2" xfId="26472"/>
    <cellStyle name="20% - Accent2 2 2 2 6 3" xfId="17934"/>
    <cellStyle name="20% - Accent2 2 2 2 7" xfId="612"/>
    <cellStyle name="20% - Accent2 2 2 2 7 2" xfId="13626"/>
    <cellStyle name="20% - Accent2 2 2 2 7 2 2" xfId="27175"/>
    <cellStyle name="20% - Accent2 2 2 2 7 3" xfId="17935"/>
    <cellStyle name="20% - Accent2 2 2 2 8" xfId="613"/>
    <cellStyle name="20% - Accent2 2 2 2 8 2" xfId="14207"/>
    <cellStyle name="20% - Accent2 2 2 2 8 2 2" xfId="27756"/>
    <cellStyle name="20% - Accent2 2 2 2 8 3" xfId="17936"/>
    <cellStyle name="20% - Accent2 2 2 2 9" xfId="614"/>
    <cellStyle name="20% - Accent2 2 2 2 9 2" xfId="14659"/>
    <cellStyle name="20% - Accent2 2 2 2 9 2 2" xfId="28208"/>
    <cellStyle name="20% - Accent2 2 2 2 9 3" xfId="17937"/>
    <cellStyle name="20% - Accent2 2 2 3" xfId="615"/>
    <cellStyle name="20% - Accent2 2 2 3 10" xfId="8907"/>
    <cellStyle name="20% - Accent2 2 2 3 10 2" xfId="23382"/>
    <cellStyle name="20% - Accent2 2 2 3 11" xfId="17938"/>
    <cellStyle name="20% - Accent2 2 2 3 2" xfId="616"/>
    <cellStyle name="20% - Accent2 2 2 3 2 2" xfId="617"/>
    <cellStyle name="20% - Accent2 2 2 3 2 2 2" xfId="10633"/>
    <cellStyle name="20% - Accent2 2 2 3 2 2 2 2" xfId="24575"/>
    <cellStyle name="20% - Accent2 2 2 3 2 2 3" xfId="17940"/>
    <cellStyle name="20% - Accent2 2 2 3 2 3" xfId="618"/>
    <cellStyle name="20% - Accent2 2 2 3 2 3 2" xfId="12749"/>
    <cellStyle name="20% - Accent2 2 2 3 2 3 2 2" xfId="26461"/>
    <cellStyle name="20% - Accent2 2 2 3 2 3 3" xfId="17941"/>
    <cellStyle name="20% - Accent2 2 2 3 2 4" xfId="619"/>
    <cellStyle name="20% - Accent2 2 2 3 2 4 2" xfId="14666"/>
    <cellStyle name="20% - Accent2 2 2 3 2 4 2 2" xfId="28215"/>
    <cellStyle name="20% - Accent2 2 2 3 2 4 3" xfId="17942"/>
    <cellStyle name="20% - Accent2 2 2 3 2 5" xfId="620"/>
    <cellStyle name="20% - Accent2 2 2 3 2 5 2" xfId="16820"/>
    <cellStyle name="20% - Accent2 2 2 3 2 5 2 2" xfId="30227"/>
    <cellStyle name="20% - Accent2 2 2 3 2 5 3" xfId="17943"/>
    <cellStyle name="20% - Accent2 2 2 3 2 6" xfId="8908"/>
    <cellStyle name="20% - Accent2 2 2 3 2 6 2" xfId="23383"/>
    <cellStyle name="20% - Accent2 2 2 3 2 7" xfId="17939"/>
    <cellStyle name="20% - Accent2 2 2 3 3" xfId="621"/>
    <cellStyle name="20% - Accent2 2 2 3 3 2" xfId="622"/>
    <cellStyle name="20% - Accent2 2 2 3 3 2 2" xfId="14667"/>
    <cellStyle name="20% - Accent2 2 2 3 3 2 2 2" xfId="28216"/>
    <cellStyle name="20% - Accent2 2 2 3 3 2 3" xfId="17945"/>
    <cellStyle name="20% - Accent2 2 2 3 3 3" xfId="10632"/>
    <cellStyle name="20% - Accent2 2 2 3 3 3 2" xfId="24574"/>
    <cellStyle name="20% - Accent2 2 2 3 3 4" xfId="17944"/>
    <cellStyle name="20% - Accent2 2 2 3 4" xfId="623"/>
    <cellStyle name="20% - Accent2 2 2 3 4 2" xfId="12208"/>
    <cellStyle name="20% - Accent2 2 2 3 4 2 2" xfId="25920"/>
    <cellStyle name="20% - Accent2 2 2 3 4 3" xfId="17946"/>
    <cellStyle name="20% - Accent2 2 2 3 5" xfId="624"/>
    <cellStyle name="20% - Accent2 2 2 3 5 2" xfId="12663"/>
    <cellStyle name="20% - Accent2 2 2 3 5 2 2" xfId="26375"/>
    <cellStyle name="20% - Accent2 2 2 3 5 3" xfId="17947"/>
    <cellStyle name="20% - Accent2 2 2 3 6" xfId="625"/>
    <cellStyle name="20% - Accent2 2 2 3 6 2" xfId="13772"/>
    <cellStyle name="20% - Accent2 2 2 3 6 2 2" xfId="27321"/>
    <cellStyle name="20% - Accent2 2 2 3 6 3" xfId="17948"/>
    <cellStyle name="20% - Accent2 2 2 3 7" xfId="626"/>
    <cellStyle name="20% - Accent2 2 2 3 7 2" xfId="14353"/>
    <cellStyle name="20% - Accent2 2 2 3 7 2 2" xfId="27902"/>
    <cellStyle name="20% - Accent2 2 2 3 7 3" xfId="17949"/>
    <cellStyle name="20% - Accent2 2 2 3 8" xfId="627"/>
    <cellStyle name="20% - Accent2 2 2 3 8 2" xfId="14665"/>
    <cellStyle name="20% - Accent2 2 2 3 8 2 2" xfId="28214"/>
    <cellStyle name="20% - Accent2 2 2 3 8 3" xfId="17950"/>
    <cellStyle name="20% - Accent2 2 2 3 9" xfId="628"/>
    <cellStyle name="20% - Accent2 2 2 3 9 2" xfId="16239"/>
    <cellStyle name="20% - Accent2 2 2 3 9 2 2" xfId="29646"/>
    <cellStyle name="20% - Accent2 2 2 3 9 3" xfId="17951"/>
    <cellStyle name="20% - Accent2 2 2 4" xfId="629"/>
    <cellStyle name="20% - Accent2 2 2 4 2" xfId="630"/>
    <cellStyle name="20% - Accent2 2 2 4 2 2" xfId="10634"/>
    <cellStyle name="20% - Accent2 2 2 4 2 2 2" xfId="24576"/>
    <cellStyle name="20% - Accent2 2 2 4 2 3" xfId="17953"/>
    <cellStyle name="20% - Accent2 2 2 4 3" xfId="631"/>
    <cellStyle name="20% - Accent2 2 2 4 3 2" xfId="12550"/>
    <cellStyle name="20% - Accent2 2 2 4 3 2 2" xfId="26262"/>
    <cellStyle name="20% - Accent2 2 2 4 3 3" xfId="17954"/>
    <cellStyle name="20% - Accent2 2 2 4 4" xfId="632"/>
    <cellStyle name="20% - Accent2 2 2 4 4 2" xfId="14668"/>
    <cellStyle name="20% - Accent2 2 2 4 4 2 2" xfId="28217"/>
    <cellStyle name="20% - Accent2 2 2 4 4 3" xfId="17955"/>
    <cellStyle name="20% - Accent2 2 2 4 5" xfId="633"/>
    <cellStyle name="20% - Accent2 2 2 4 5 2" xfId="17167"/>
    <cellStyle name="20% - Accent2 2 2 4 5 2 2" xfId="30526"/>
    <cellStyle name="20% - Accent2 2 2 4 5 3" xfId="17956"/>
    <cellStyle name="20% - Accent2 2 2 4 6" xfId="8909"/>
    <cellStyle name="20% - Accent2 2 2 4 6 2" xfId="23384"/>
    <cellStyle name="20% - Accent2 2 2 4 7" xfId="17952"/>
    <cellStyle name="20% - Accent2 2 2 5" xfId="634"/>
    <cellStyle name="20% - Accent2 2 2 5 2" xfId="635"/>
    <cellStyle name="20% - Accent2 2 2 5 2 2" xfId="14669"/>
    <cellStyle name="20% - Accent2 2 2 5 2 2 2" xfId="28218"/>
    <cellStyle name="20% - Accent2 2 2 5 2 3" xfId="17958"/>
    <cellStyle name="20% - Accent2 2 2 5 3" xfId="636"/>
    <cellStyle name="20% - Accent2 2 2 5 3 2" xfId="17256"/>
    <cellStyle name="20% - Accent2 2 2 5 3 2 2" xfId="30615"/>
    <cellStyle name="20% - Accent2 2 2 5 3 3" xfId="17959"/>
    <cellStyle name="20% - Accent2 2 2 5 4" xfId="10627"/>
    <cellStyle name="20% - Accent2 2 2 5 4 2" xfId="24569"/>
    <cellStyle name="20% - Accent2 2 2 5 5" xfId="17957"/>
    <cellStyle name="20% - Accent2 2 2 6" xfId="637"/>
    <cellStyle name="20% - Accent2 2 2 6 2" xfId="638"/>
    <cellStyle name="20% - Accent2 2 2 6 2 2" xfId="16531"/>
    <cellStyle name="20% - Accent2 2 2 6 2 2 2" xfId="29938"/>
    <cellStyle name="20% - Accent2 2 2 6 2 3" xfId="17961"/>
    <cellStyle name="20% - Accent2 2 2 6 3" xfId="11906"/>
    <cellStyle name="20% - Accent2 2 2 6 3 2" xfId="25621"/>
    <cellStyle name="20% - Accent2 2 2 6 4" xfId="17960"/>
    <cellStyle name="20% - Accent2 2 2 7" xfId="639"/>
    <cellStyle name="20% - Accent2 2 2 7 2" xfId="11873"/>
    <cellStyle name="20% - Accent2 2 2 7 2 2" xfId="25588"/>
    <cellStyle name="20% - Accent2 2 2 7 3" xfId="17962"/>
    <cellStyle name="20% - Accent2 2 2 8" xfId="640"/>
    <cellStyle name="20% - Accent2 2 2 8 2" xfId="13483"/>
    <cellStyle name="20% - Accent2 2 2 8 2 2" xfId="27032"/>
    <cellStyle name="20% - Accent2 2 2 8 3" xfId="17963"/>
    <cellStyle name="20% - Accent2 2 2 9" xfId="641"/>
    <cellStyle name="20% - Accent2 2 2 9 2" xfId="14064"/>
    <cellStyle name="20% - Accent2 2 2 9 2 2" xfId="27613"/>
    <cellStyle name="20% - Accent2 2 2 9 3" xfId="17964"/>
    <cellStyle name="20% - Accent2 2 3" xfId="642"/>
    <cellStyle name="20% - Accent2 2 3 10" xfId="643"/>
    <cellStyle name="20% - Accent2 2 3 10 2" xfId="16047"/>
    <cellStyle name="20% - Accent2 2 3 10 2 2" xfId="29454"/>
    <cellStyle name="20% - Accent2 2 3 10 3" xfId="17966"/>
    <cellStyle name="20% - Accent2 2 3 11" xfId="8910"/>
    <cellStyle name="20% - Accent2 2 3 11 2" xfId="23385"/>
    <cellStyle name="20% - Accent2 2 3 12" xfId="17965"/>
    <cellStyle name="20% - Accent2 2 3 2" xfId="644"/>
    <cellStyle name="20% - Accent2 2 3 2 10" xfId="8911"/>
    <cellStyle name="20% - Accent2 2 3 2 10 2" xfId="23386"/>
    <cellStyle name="20% - Accent2 2 3 2 11" xfId="17967"/>
    <cellStyle name="20% - Accent2 2 3 2 2" xfId="645"/>
    <cellStyle name="20% - Accent2 2 3 2 2 2" xfId="646"/>
    <cellStyle name="20% - Accent2 2 3 2 2 2 2" xfId="10637"/>
    <cellStyle name="20% - Accent2 2 3 2 2 2 2 2" xfId="24579"/>
    <cellStyle name="20% - Accent2 2 3 2 2 2 3" xfId="17969"/>
    <cellStyle name="20% - Accent2 2 3 2 2 3" xfId="647"/>
    <cellStyle name="20% - Accent2 2 3 2 2 3 2" xfId="12647"/>
    <cellStyle name="20% - Accent2 2 3 2 2 3 2 2" xfId="26359"/>
    <cellStyle name="20% - Accent2 2 3 2 2 3 3" xfId="17970"/>
    <cellStyle name="20% - Accent2 2 3 2 2 4" xfId="648"/>
    <cellStyle name="20% - Accent2 2 3 2 2 4 2" xfId="14672"/>
    <cellStyle name="20% - Accent2 2 3 2 2 4 2 2" xfId="28221"/>
    <cellStyle name="20% - Accent2 2 3 2 2 4 3" xfId="17971"/>
    <cellStyle name="20% - Accent2 2 3 2 2 5" xfId="649"/>
    <cellStyle name="20% - Accent2 2 3 2 2 5 2" xfId="16917"/>
    <cellStyle name="20% - Accent2 2 3 2 2 5 2 2" xfId="30324"/>
    <cellStyle name="20% - Accent2 2 3 2 2 5 3" xfId="17972"/>
    <cellStyle name="20% - Accent2 2 3 2 2 6" xfId="8912"/>
    <cellStyle name="20% - Accent2 2 3 2 2 6 2" xfId="23387"/>
    <cellStyle name="20% - Accent2 2 3 2 2 7" xfId="17968"/>
    <cellStyle name="20% - Accent2 2 3 2 3" xfId="650"/>
    <cellStyle name="20% - Accent2 2 3 2 3 2" xfId="651"/>
    <cellStyle name="20% - Accent2 2 3 2 3 2 2" xfId="14673"/>
    <cellStyle name="20% - Accent2 2 3 2 3 2 2 2" xfId="28222"/>
    <cellStyle name="20% - Accent2 2 3 2 3 2 3" xfId="17974"/>
    <cellStyle name="20% - Accent2 2 3 2 3 3" xfId="10636"/>
    <cellStyle name="20% - Accent2 2 3 2 3 3 2" xfId="24578"/>
    <cellStyle name="20% - Accent2 2 3 2 3 4" xfId="17973"/>
    <cellStyle name="20% - Accent2 2 3 2 4" xfId="652"/>
    <cellStyle name="20% - Accent2 2 3 2 4 2" xfId="12305"/>
    <cellStyle name="20% - Accent2 2 3 2 4 2 2" xfId="26017"/>
    <cellStyle name="20% - Accent2 2 3 2 4 3" xfId="17975"/>
    <cellStyle name="20% - Accent2 2 3 2 5" xfId="653"/>
    <cellStyle name="20% - Accent2 2 3 2 5 2" xfId="12423"/>
    <cellStyle name="20% - Accent2 2 3 2 5 2 2" xfId="26135"/>
    <cellStyle name="20% - Accent2 2 3 2 5 3" xfId="17976"/>
    <cellStyle name="20% - Accent2 2 3 2 6" xfId="654"/>
    <cellStyle name="20% - Accent2 2 3 2 6 2" xfId="13869"/>
    <cellStyle name="20% - Accent2 2 3 2 6 2 2" xfId="27418"/>
    <cellStyle name="20% - Accent2 2 3 2 6 3" xfId="17977"/>
    <cellStyle name="20% - Accent2 2 3 2 7" xfId="655"/>
    <cellStyle name="20% - Accent2 2 3 2 7 2" xfId="14450"/>
    <cellStyle name="20% - Accent2 2 3 2 7 2 2" xfId="27999"/>
    <cellStyle name="20% - Accent2 2 3 2 7 3" xfId="17978"/>
    <cellStyle name="20% - Accent2 2 3 2 8" xfId="656"/>
    <cellStyle name="20% - Accent2 2 3 2 8 2" xfId="14671"/>
    <cellStyle name="20% - Accent2 2 3 2 8 2 2" xfId="28220"/>
    <cellStyle name="20% - Accent2 2 3 2 8 3" xfId="17979"/>
    <cellStyle name="20% - Accent2 2 3 2 9" xfId="657"/>
    <cellStyle name="20% - Accent2 2 3 2 9 2" xfId="16336"/>
    <cellStyle name="20% - Accent2 2 3 2 9 2 2" xfId="29743"/>
    <cellStyle name="20% - Accent2 2 3 2 9 3" xfId="17980"/>
    <cellStyle name="20% - Accent2 2 3 3" xfId="658"/>
    <cellStyle name="20% - Accent2 2 3 3 2" xfId="659"/>
    <cellStyle name="20% - Accent2 2 3 3 2 2" xfId="10638"/>
    <cellStyle name="20% - Accent2 2 3 3 2 2 2" xfId="24580"/>
    <cellStyle name="20% - Accent2 2 3 3 2 3" xfId="17982"/>
    <cellStyle name="20% - Accent2 2 3 3 3" xfId="660"/>
    <cellStyle name="20% - Accent2 2 3 3 3 2" xfId="12678"/>
    <cellStyle name="20% - Accent2 2 3 3 3 2 2" xfId="26390"/>
    <cellStyle name="20% - Accent2 2 3 3 3 3" xfId="17983"/>
    <cellStyle name="20% - Accent2 2 3 3 4" xfId="661"/>
    <cellStyle name="20% - Accent2 2 3 3 4 2" xfId="14674"/>
    <cellStyle name="20% - Accent2 2 3 3 4 2 2" xfId="28223"/>
    <cellStyle name="20% - Accent2 2 3 3 4 3" xfId="17984"/>
    <cellStyle name="20% - Accent2 2 3 3 5" xfId="662"/>
    <cellStyle name="20% - Accent2 2 3 3 5 2" xfId="16628"/>
    <cellStyle name="20% - Accent2 2 3 3 5 2 2" xfId="30035"/>
    <cellStyle name="20% - Accent2 2 3 3 5 3" xfId="17985"/>
    <cellStyle name="20% - Accent2 2 3 3 6" xfId="8913"/>
    <cellStyle name="20% - Accent2 2 3 3 6 2" xfId="23388"/>
    <cellStyle name="20% - Accent2 2 3 3 7" xfId="17981"/>
    <cellStyle name="20% - Accent2 2 3 4" xfId="663"/>
    <cellStyle name="20% - Accent2 2 3 4 2" xfId="664"/>
    <cellStyle name="20% - Accent2 2 3 4 2 2" xfId="14675"/>
    <cellStyle name="20% - Accent2 2 3 4 2 2 2" xfId="28224"/>
    <cellStyle name="20% - Accent2 2 3 4 2 3" xfId="17987"/>
    <cellStyle name="20% - Accent2 2 3 4 3" xfId="10635"/>
    <cellStyle name="20% - Accent2 2 3 4 3 2" xfId="24577"/>
    <cellStyle name="20% - Accent2 2 3 4 4" xfId="17986"/>
    <cellStyle name="20% - Accent2 2 3 5" xfId="665"/>
    <cellStyle name="20% - Accent2 2 3 5 2" xfId="12005"/>
    <cellStyle name="20% - Accent2 2 3 5 2 2" xfId="25720"/>
    <cellStyle name="20% - Accent2 2 3 5 3" xfId="17988"/>
    <cellStyle name="20% - Accent2 2 3 6" xfId="666"/>
    <cellStyle name="20% - Accent2 2 3 6 2" xfId="12605"/>
    <cellStyle name="20% - Accent2 2 3 6 2 2" xfId="26317"/>
    <cellStyle name="20% - Accent2 2 3 6 3" xfId="17989"/>
    <cellStyle name="20% - Accent2 2 3 7" xfId="667"/>
    <cellStyle name="20% - Accent2 2 3 7 2" xfId="13580"/>
    <cellStyle name="20% - Accent2 2 3 7 2 2" xfId="27129"/>
    <cellStyle name="20% - Accent2 2 3 7 3" xfId="17990"/>
    <cellStyle name="20% - Accent2 2 3 8" xfId="668"/>
    <cellStyle name="20% - Accent2 2 3 8 2" xfId="14161"/>
    <cellStyle name="20% - Accent2 2 3 8 2 2" xfId="27710"/>
    <cellStyle name="20% - Accent2 2 3 8 3" xfId="17991"/>
    <cellStyle name="20% - Accent2 2 3 9" xfId="669"/>
    <cellStyle name="20% - Accent2 2 3 9 2" xfId="14670"/>
    <cellStyle name="20% - Accent2 2 3 9 2 2" xfId="28219"/>
    <cellStyle name="20% - Accent2 2 3 9 3" xfId="17992"/>
    <cellStyle name="20% - Accent2 2 4" xfId="670"/>
    <cellStyle name="20% - Accent2 2 4 10" xfId="8914"/>
    <cellStyle name="20% - Accent2 2 4 10 2" xfId="23389"/>
    <cellStyle name="20% - Accent2 2 4 11" xfId="17993"/>
    <cellStyle name="20% - Accent2 2 4 2" xfId="671"/>
    <cellStyle name="20% - Accent2 2 4 2 2" xfId="672"/>
    <cellStyle name="20% - Accent2 2 4 2 2 2" xfId="10640"/>
    <cellStyle name="20% - Accent2 2 4 2 2 2 2" xfId="24582"/>
    <cellStyle name="20% - Accent2 2 4 2 2 3" xfId="17995"/>
    <cellStyle name="20% - Accent2 2 4 2 3" xfId="673"/>
    <cellStyle name="20% - Accent2 2 4 2 3 2" xfId="12774"/>
    <cellStyle name="20% - Accent2 2 4 2 3 2 2" xfId="26486"/>
    <cellStyle name="20% - Accent2 2 4 2 3 3" xfId="17996"/>
    <cellStyle name="20% - Accent2 2 4 2 4" xfId="674"/>
    <cellStyle name="20% - Accent2 2 4 2 4 2" xfId="14677"/>
    <cellStyle name="20% - Accent2 2 4 2 4 2 2" xfId="28226"/>
    <cellStyle name="20% - Accent2 2 4 2 4 3" xfId="17997"/>
    <cellStyle name="20% - Accent2 2 4 2 5" xfId="675"/>
    <cellStyle name="20% - Accent2 2 4 2 5 2" xfId="16774"/>
    <cellStyle name="20% - Accent2 2 4 2 5 2 2" xfId="30181"/>
    <cellStyle name="20% - Accent2 2 4 2 5 3" xfId="17998"/>
    <cellStyle name="20% - Accent2 2 4 2 6" xfId="8915"/>
    <cellStyle name="20% - Accent2 2 4 2 6 2" xfId="23390"/>
    <cellStyle name="20% - Accent2 2 4 2 7" xfId="17994"/>
    <cellStyle name="20% - Accent2 2 4 3" xfId="676"/>
    <cellStyle name="20% - Accent2 2 4 3 2" xfId="677"/>
    <cellStyle name="20% - Accent2 2 4 3 2 2" xfId="14678"/>
    <cellStyle name="20% - Accent2 2 4 3 2 2 2" xfId="28227"/>
    <cellStyle name="20% - Accent2 2 4 3 2 3" xfId="18000"/>
    <cellStyle name="20% - Accent2 2 4 3 3" xfId="10639"/>
    <cellStyle name="20% - Accent2 2 4 3 3 2" xfId="24581"/>
    <cellStyle name="20% - Accent2 2 4 3 4" xfId="17999"/>
    <cellStyle name="20% - Accent2 2 4 4" xfId="678"/>
    <cellStyle name="20% - Accent2 2 4 4 2" xfId="12162"/>
    <cellStyle name="20% - Accent2 2 4 4 2 2" xfId="25874"/>
    <cellStyle name="20% - Accent2 2 4 4 3" xfId="18001"/>
    <cellStyle name="20% - Accent2 2 4 5" xfId="679"/>
    <cellStyle name="20% - Accent2 2 4 5 2" xfId="12679"/>
    <cellStyle name="20% - Accent2 2 4 5 2 2" xfId="26391"/>
    <cellStyle name="20% - Accent2 2 4 5 3" xfId="18002"/>
    <cellStyle name="20% - Accent2 2 4 6" xfId="680"/>
    <cellStyle name="20% - Accent2 2 4 6 2" xfId="13726"/>
    <cellStyle name="20% - Accent2 2 4 6 2 2" xfId="27275"/>
    <cellStyle name="20% - Accent2 2 4 6 3" xfId="18003"/>
    <cellStyle name="20% - Accent2 2 4 7" xfId="681"/>
    <cellStyle name="20% - Accent2 2 4 7 2" xfId="14307"/>
    <cellStyle name="20% - Accent2 2 4 7 2 2" xfId="27856"/>
    <cellStyle name="20% - Accent2 2 4 7 3" xfId="18004"/>
    <cellStyle name="20% - Accent2 2 4 8" xfId="682"/>
    <cellStyle name="20% - Accent2 2 4 8 2" xfId="14676"/>
    <cellStyle name="20% - Accent2 2 4 8 2 2" xfId="28225"/>
    <cellStyle name="20% - Accent2 2 4 8 3" xfId="18005"/>
    <cellStyle name="20% - Accent2 2 4 9" xfId="683"/>
    <cellStyle name="20% - Accent2 2 4 9 2" xfId="16193"/>
    <cellStyle name="20% - Accent2 2 4 9 2 2" xfId="29600"/>
    <cellStyle name="20% - Accent2 2 4 9 3" xfId="18006"/>
    <cellStyle name="20% - Accent2 2 5" xfId="684"/>
    <cellStyle name="20% - Accent2 2 5 2" xfId="685"/>
    <cellStyle name="20% - Accent2 2 5 2 2" xfId="686"/>
    <cellStyle name="20% - Accent2 2 5 2 2 2" xfId="10642"/>
    <cellStyle name="20% - Accent2 2 5 2 2 2 2" xfId="24584"/>
    <cellStyle name="20% - Accent2 2 5 2 2 3" xfId="18009"/>
    <cellStyle name="20% - Accent2 2 5 2 3" xfId="687"/>
    <cellStyle name="20% - Accent2 2 5 2 3 2" xfId="12533"/>
    <cellStyle name="20% - Accent2 2 5 2 3 2 2" xfId="26245"/>
    <cellStyle name="20% - Accent2 2 5 2 3 3" xfId="18010"/>
    <cellStyle name="20% - Accent2 2 5 2 4" xfId="688"/>
    <cellStyle name="20% - Accent2 2 5 2 4 2" xfId="14680"/>
    <cellStyle name="20% - Accent2 2 5 2 4 2 2" xfId="28229"/>
    <cellStyle name="20% - Accent2 2 5 2 4 3" xfId="18011"/>
    <cellStyle name="20% - Accent2 2 5 2 5" xfId="8917"/>
    <cellStyle name="20% - Accent2 2 5 2 5 2" xfId="23392"/>
    <cellStyle name="20% - Accent2 2 5 2 6" xfId="18008"/>
    <cellStyle name="20% - Accent2 2 5 3" xfId="689"/>
    <cellStyle name="20% - Accent2 2 5 3 2" xfId="10641"/>
    <cellStyle name="20% - Accent2 2 5 3 2 2" xfId="24583"/>
    <cellStyle name="20% - Accent2 2 5 3 3" xfId="18012"/>
    <cellStyle name="20% - Accent2 2 5 4" xfId="690"/>
    <cellStyle name="20% - Accent2 2 5 4 2" xfId="12523"/>
    <cellStyle name="20% - Accent2 2 5 4 2 2" xfId="26235"/>
    <cellStyle name="20% - Accent2 2 5 4 3" xfId="18013"/>
    <cellStyle name="20% - Accent2 2 5 5" xfId="691"/>
    <cellStyle name="20% - Accent2 2 5 5 2" xfId="14679"/>
    <cellStyle name="20% - Accent2 2 5 5 2 2" xfId="28228"/>
    <cellStyle name="20% - Accent2 2 5 5 3" xfId="18014"/>
    <cellStyle name="20% - Accent2 2 5 6" xfId="692"/>
    <cellStyle name="20% - Accent2 2 5 6 2" xfId="17008"/>
    <cellStyle name="20% - Accent2 2 5 6 2 2" xfId="30415"/>
    <cellStyle name="20% - Accent2 2 5 6 3" xfId="18015"/>
    <cellStyle name="20% - Accent2 2 5 7" xfId="8916"/>
    <cellStyle name="20% - Accent2 2 5 7 2" xfId="23391"/>
    <cellStyle name="20% - Accent2 2 5 8" xfId="18007"/>
    <cellStyle name="20% - Accent2 2 6" xfId="693"/>
    <cellStyle name="20% - Accent2 2 6 2" xfId="694"/>
    <cellStyle name="20% - Accent2 2 6 2 2" xfId="10643"/>
    <cellStyle name="20% - Accent2 2 6 2 2 2" xfId="24585"/>
    <cellStyle name="20% - Accent2 2 6 2 3" xfId="18017"/>
    <cellStyle name="20% - Accent2 2 6 3" xfId="695"/>
    <cellStyle name="20% - Accent2 2 6 3 2" xfId="12690"/>
    <cellStyle name="20% - Accent2 2 6 3 2 2" xfId="26402"/>
    <cellStyle name="20% - Accent2 2 6 3 3" xfId="18018"/>
    <cellStyle name="20% - Accent2 2 6 4" xfId="696"/>
    <cellStyle name="20% - Accent2 2 6 4 2" xfId="14681"/>
    <cellStyle name="20% - Accent2 2 6 4 2 2" xfId="28230"/>
    <cellStyle name="20% - Accent2 2 6 4 3" xfId="18019"/>
    <cellStyle name="20% - Accent2 2 6 5" xfId="697"/>
    <cellStyle name="20% - Accent2 2 6 5 2" xfId="17121"/>
    <cellStyle name="20% - Accent2 2 6 5 2 2" xfId="30480"/>
    <cellStyle name="20% - Accent2 2 6 5 3" xfId="18020"/>
    <cellStyle name="20% - Accent2 2 6 6" xfId="8918"/>
    <cellStyle name="20% - Accent2 2 6 6 2" xfId="23393"/>
    <cellStyle name="20% - Accent2 2 6 7" xfId="18016"/>
    <cellStyle name="20% - Accent2 2 7" xfId="698"/>
    <cellStyle name="20% - Accent2 2 7 2" xfId="699"/>
    <cellStyle name="20% - Accent2 2 7 2 2" xfId="10644"/>
    <cellStyle name="20% - Accent2 2 7 2 2 2" xfId="24586"/>
    <cellStyle name="20% - Accent2 2 7 2 3" xfId="18022"/>
    <cellStyle name="20% - Accent2 2 7 3" xfId="700"/>
    <cellStyle name="20% - Accent2 2 7 3 2" xfId="12466"/>
    <cellStyle name="20% - Accent2 2 7 3 2 2" xfId="26178"/>
    <cellStyle name="20% - Accent2 2 7 3 3" xfId="18023"/>
    <cellStyle name="20% - Accent2 2 7 4" xfId="701"/>
    <cellStyle name="20% - Accent2 2 7 4 2" xfId="14682"/>
    <cellStyle name="20% - Accent2 2 7 4 2 2" xfId="28231"/>
    <cellStyle name="20% - Accent2 2 7 4 3" xfId="18024"/>
    <cellStyle name="20% - Accent2 2 7 5" xfId="702"/>
    <cellStyle name="20% - Accent2 2 7 5 2" xfId="17210"/>
    <cellStyle name="20% - Accent2 2 7 5 2 2" xfId="30569"/>
    <cellStyle name="20% - Accent2 2 7 5 3" xfId="18025"/>
    <cellStyle name="20% - Accent2 2 7 6" xfId="8919"/>
    <cellStyle name="20% - Accent2 2 7 6 2" xfId="23394"/>
    <cellStyle name="20% - Accent2 2 7 7" xfId="18021"/>
    <cellStyle name="20% - Accent2 2 8" xfId="703"/>
    <cellStyle name="20% - Accent2 2 8 2" xfId="704"/>
    <cellStyle name="20% - Accent2 2 8 2 2" xfId="12572"/>
    <cellStyle name="20% - Accent2 2 8 2 2 2" xfId="26284"/>
    <cellStyle name="20% - Accent2 2 8 2 3" xfId="18027"/>
    <cellStyle name="20% - Accent2 2 8 3" xfId="705"/>
    <cellStyle name="20% - Accent2 2 8 3 2" xfId="14683"/>
    <cellStyle name="20% - Accent2 2 8 3 2 2" xfId="28232"/>
    <cellStyle name="20% - Accent2 2 8 3 3" xfId="18028"/>
    <cellStyle name="20% - Accent2 2 8 4" xfId="706"/>
    <cellStyle name="20% - Accent2 2 8 4 2" xfId="16485"/>
    <cellStyle name="20% - Accent2 2 8 4 2 2" xfId="29892"/>
    <cellStyle name="20% - Accent2 2 8 4 3" xfId="18029"/>
    <cellStyle name="20% - Accent2 2 8 5" xfId="10529"/>
    <cellStyle name="20% - Accent2 2 8 5 2" xfId="24471"/>
    <cellStyle name="20% - Accent2 2 8 6" xfId="18026"/>
    <cellStyle name="20% - Accent2 2 9" xfId="707"/>
    <cellStyle name="20% - Accent2 2 9 2" xfId="708"/>
    <cellStyle name="20% - Accent2 2 9 2 2" xfId="12789"/>
    <cellStyle name="20% - Accent2 2 9 2 2 2" xfId="26501"/>
    <cellStyle name="20% - Accent2 2 9 2 3" xfId="18031"/>
    <cellStyle name="20% - Accent2 2 9 3" xfId="709"/>
    <cellStyle name="20% - Accent2 2 9 3 2" xfId="14684"/>
    <cellStyle name="20% - Accent2 2 9 3 2 2" xfId="28233"/>
    <cellStyle name="20% - Accent2 2 9 3 3" xfId="18032"/>
    <cellStyle name="20% - Accent2 2 9 4" xfId="10626"/>
    <cellStyle name="20% - Accent2 2 9 4 2" xfId="24568"/>
    <cellStyle name="20% - Accent2 2 9 5" xfId="18030"/>
    <cellStyle name="20% - Accent2 20" xfId="710"/>
    <cellStyle name="20% - Accent2 20 2" xfId="711"/>
    <cellStyle name="20% - Accent2 20 2 2" xfId="12677"/>
    <cellStyle name="20% - Accent2 20 2 2 2" xfId="26389"/>
    <cellStyle name="20% - Accent2 20 2 3" xfId="18034"/>
    <cellStyle name="20% - Accent2 20 3" xfId="712"/>
    <cellStyle name="20% - Accent2 20 3 2" xfId="14685"/>
    <cellStyle name="20% - Accent2 20 3 2 2" xfId="28234"/>
    <cellStyle name="20% - Accent2 20 3 3" xfId="18035"/>
    <cellStyle name="20% - Accent2 20 4" xfId="10504"/>
    <cellStyle name="20% - Accent2 20 4 2" xfId="24452"/>
    <cellStyle name="20% - Accent2 20 5" xfId="18033"/>
    <cellStyle name="20% - Accent2 21" xfId="713"/>
    <cellStyle name="20% - Accent2 21 2" xfId="714"/>
    <cellStyle name="20% - Accent2 21 2 2" xfId="12539"/>
    <cellStyle name="20% - Accent2 21 2 2 2" xfId="26251"/>
    <cellStyle name="20% - Accent2 21 2 3" xfId="18037"/>
    <cellStyle name="20% - Accent2 21 3" xfId="715"/>
    <cellStyle name="20% - Accent2 21 3 2" xfId="14686"/>
    <cellStyle name="20% - Accent2 21 3 2 2" xfId="28235"/>
    <cellStyle name="20% - Accent2 21 3 3" xfId="18038"/>
    <cellStyle name="20% - Accent2 21 4" xfId="10615"/>
    <cellStyle name="20% - Accent2 21 4 2" xfId="24557"/>
    <cellStyle name="20% - Accent2 21 5" xfId="18036"/>
    <cellStyle name="20% - Accent2 22" xfId="716"/>
    <cellStyle name="20% - Accent2 22 2" xfId="11740"/>
    <cellStyle name="20% - Accent2 22 2 2" xfId="25455"/>
    <cellStyle name="20% - Accent2 22 3" xfId="18039"/>
    <cellStyle name="20% - Accent2 23" xfId="717"/>
    <cellStyle name="20% - Accent2 23 2" xfId="12778"/>
    <cellStyle name="20% - Accent2 23 2 2" xfId="26490"/>
    <cellStyle name="20% - Accent2 23 3" xfId="18040"/>
    <cellStyle name="20% - Accent2 24" xfId="718"/>
    <cellStyle name="20% - Accent2 24 2" xfId="13379"/>
    <cellStyle name="20% - Accent2 24 2 2" xfId="26928"/>
    <cellStyle name="20% - Accent2 24 3" xfId="18041"/>
    <cellStyle name="20% - Accent2 25" xfId="719"/>
    <cellStyle name="20% - Accent2 25 2" xfId="13960"/>
    <cellStyle name="20% - Accent2 25 2 2" xfId="27509"/>
    <cellStyle name="20% - Accent2 25 3" xfId="18042"/>
    <cellStyle name="20% - Accent2 26" xfId="720"/>
    <cellStyle name="20% - Accent2 26 2" xfId="14643"/>
    <cellStyle name="20% - Accent2 26 2 2" xfId="28192"/>
    <cellStyle name="20% - Accent2 26 3" xfId="18043"/>
    <cellStyle name="20% - Accent2 27" xfId="721"/>
    <cellStyle name="20% - Accent2 27 2" xfId="15839"/>
    <cellStyle name="20% - Accent2 27 2 2" xfId="29246"/>
    <cellStyle name="20% - Accent2 27 3" xfId="18044"/>
    <cellStyle name="20% - Accent2 28" xfId="722"/>
    <cellStyle name="20% - Accent2 28 2" xfId="15846"/>
    <cellStyle name="20% - Accent2 28 2 2" xfId="29253"/>
    <cellStyle name="20% - Accent2 28 3" xfId="18045"/>
    <cellStyle name="20% - Accent2 29" xfId="723"/>
    <cellStyle name="20% - Accent2 29 2" xfId="8890"/>
    <cellStyle name="20% - Accent2 29 2 2" xfId="23365"/>
    <cellStyle name="20% - Accent2 29 3" xfId="18046"/>
    <cellStyle name="20% - Accent2 3" xfId="724"/>
    <cellStyle name="20% - Accent2 3 10" xfId="725"/>
    <cellStyle name="20% - Accent2 3 10 2" xfId="14041"/>
    <cellStyle name="20% - Accent2 3 10 2 2" xfId="27590"/>
    <cellStyle name="20% - Accent2 3 10 3" xfId="18048"/>
    <cellStyle name="20% - Accent2 3 11" xfId="726"/>
    <cellStyle name="20% - Accent2 3 11 2" xfId="14687"/>
    <cellStyle name="20% - Accent2 3 11 2 2" xfId="28236"/>
    <cellStyle name="20% - Accent2 3 11 3" xfId="18049"/>
    <cellStyle name="20% - Accent2 3 12" xfId="727"/>
    <cellStyle name="20% - Accent2 3 12 2" xfId="15927"/>
    <cellStyle name="20% - Accent2 3 12 2 2" xfId="29334"/>
    <cellStyle name="20% - Accent2 3 12 3" xfId="18050"/>
    <cellStyle name="20% - Accent2 3 13" xfId="8920"/>
    <cellStyle name="20% - Accent2 3 13 2" xfId="23395"/>
    <cellStyle name="20% - Accent2 3 14" xfId="18047"/>
    <cellStyle name="20% - Accent2 3 2" xfId="728"/>
    <cellStyle name="20% - Accent2 3 2 10" xfId="729"/>
    <cellStyle name="20% - Accent2 3 2 10 2" xfId="16070"/>
    <cellStyle name="20% - Accent2 3 2 10 2 2" xfId="29477"/>
    <cellStyle name="20% - Accent2 3 2 10 3" xfId="18052"/>
    <cellStyle name="20% - Accent2 3 2 11" xfId="8921"/>
    <cellStyle name="20% - Accent2 3 2 11 2" xfId="23396"/>
    <cellStyle name="20% - Accent2 3 2 12" xfId="18051"/>
    <cellStyle name="20% - Accent2 3 2 2" xfId="730"/>
    <cellStyle name="20% - Accent2 3 2 2 10" xfId="8922"/>
    <cellStyle name="20% - Accent2 3 2 2 10 2" xfId="23397"/>
    <cellStyle name="20% - Accent2 3 2 2 11" xfId="18053"/>
    <cellStyle name="20% - Accent2 3 2 2 2" xfId="731"/>
    <cellStyle name="20% - Accent2 3 2 2 2 2" xfId="732"/>
    <cellStyle name="20% - Accent2 3 2 2 2 2 2" xfId="10648"/>
    <cellStyle name="20% - Accent2 3 2 2 2 2 2 2" xfId="24590"/>
    <cellStyle name="20% - Accent2 3 2 2 2 2 3" xfId="18055"/>
    <cellStyle name="20% - Accent2 3 2 2 2 3" xfId="733"/>
    <cellStyle name="20% - Accent2 3 2 2 2 3 2" xfId="12730"/>
    <cellStyle name="20% - Accent2 3 2 2 2 3 2 2" xfId="26442"/>
    <cellStyle name="20% - Accent2 3 2 2 2 3 3" xfId="18056"/>
    <cellStyle name="20% - Accent2 3 2 2 2 4" xfId="734"/>
    <cellStyle name="20% - Accent2 3 2 2 2 4 2" xfId="14690"/>
    <cellStyle name="20% - Accent2 3 2 2 2 4 2 2" xfId="28239"/>
    <cellStyle name="20% - Accent2 3 2 2 2 4 3" xfId="18057"/>
    <cellStyle name="20% - Accent2 3 2 2 2 5" xfId="735"/>
    <cellStyle name="20% - Accent2 3 2 2 2 5 2" xfId="16940"/>
    <cellStyle name="20% - Accent2 3 2 2 2 5 2 2" xfId="30347"/>
    <cellStyle name="20% - Accent2 3 2 2 2 5 3" xfId="18058"/>
    <cellStyle name="20% - Accent2 3 2 2 2 6" xfId="8923"/>
    <cellStyle name="20% - Accent2 3 2 2 2 6 2" xfId="23398"/>
    <cellStyle name="20% - Accent2 3 2 2 2 7" xfId="18054"/>
    <cellStyle name="20% - Accent2 3 2 2 3" xfId="736"/>
    <cellStyle name="20% - Accent2 3 2 2 3 2" xfId="737"/>
    <cellStyle name="20% - Accent2 3 2 2 3 2 2" xfId="14691"/>
    <cellStyle name="20% - Accent2 3 2 2 3 2 2 2" xfId="28240"/>
    <cellStyle name="20% - Accent2 3 2 2 3 2 3" xfId="18060"/>
    <cellStyle name="20% - Accent2 3 2 2 3 3" xfId="10647"/>
    <cellStyle name="20% - Accent2 3 2 2 3 3 2" xfId="24589"/>
    <cellStyle name="20% - Accent2 3 2 2 3 4" xfId="18059"/>
    <cellStyle name="20% - Accent2 3 2 2 4" xfId="738"/>
    <cellStyle name="20% - Accent2 3 2 2 4 2" xfId="12328"/>
    <cellStyle name="20% - Accent2 3 2 2 4 2 2" xfId="26040"/>
    <cellStyle name="20% - Accent2 3 2 2 4 3" xfId="18061"/>
    <cellStyle name="20% - Accent2 3 2 2 5" xfId="739"/>
    <cellStyle name="20% - Accent2 3 2 2 5 2" xfId="12756"/>
    <cellStyle name="20% - Accent2 3 2 2 5 2 2" xfId="26468"/>
    <cellStyle name="20% - Accent2 3 2 2 5 3" xfId="18062"/>
    <cellStyle name="20% - Accent2 3 2 2 6" xfId="740"/>
    <cellStyle name="20% - Accent2 3 2 2 6 2" xfId="13892"/>
    <cellStyle name="20% - Accent2 3 2 2 6 2 2" xfId="27441"/>
    <cellStyle name="20% - Accent2 3 2 2 6 3" xfId="18063"/>
    <cellStyle name="20% - Accent2 3 2 2 7" xfId="741"/>
    <cellStyle name="20% - Accent2 3 2 2 7 2" xfId="14473"/>
    <cellStyle name="20% - Accent2 3 2 2 7 2 2" xfId="28022"/>
    <cellStyle name="20% - Accent2 3 2 2 7 3" xfId="18064"/>
    <cellStyle name="20% - Accent2 3 2 2 8" xfId="742"/>
    <cellStyle name="20% - Accent2 3 2 2 8 2" xfId="14689"/>
    <cellStyle name="20% - Accent2 3 2 2 8 2 2" xfId="28238"/>
    <cellStyle name="20% - Accent2 3 2 2 8 3" xfId="18065"/>
    <cellStyle name="20% - Accent2 3 2 2 9" xfId="743"/>
    <cellStyle name="20% - Accent2 3 2 2 9 2" xfId="16359"/>
    <cellStyle name="20% - Accent2 3 2 2 9 2 2" xfId="29766"/>
    <cellStyle name="20% - Accent2 3 2 2 9 3" xfId="18066"/>
    <cellStyle name="20% - Accent2 3 2 3" xfId="744"/>
    <cellStyle name="20% - Accent2 3 2 3 2" xfId="745"/>
    <cellStyle name="20% - Accent2 3 2 3 2 2" xfId="10649"/>
    <cellStyle name="20% - Accent2 3 2 3 2 2 2" xfId="24591"/>
    <cellStyle name="20% - Accent2 3 2 3 2 3" xfId="18068"/>
    <cellStyle name="20% - Accent2 3 2 3 3" xfId="746"/>
    <cellStyle name="20% - Accent2 3 2 3 3 2" xfId="12652"/>
    <cellStyle name="20% - Accent2 3 2 3 3 2 2" xfId="26364"/>
    <cellStyle name="20% - Accent2 3 2 3 3 3" xfId="18069"/>
    <cellStyle name="20% - Accent2 3 2 3 4" xfId="747"/>
    <cellStyle name="20% - Accent2 3 2 3 4 2" xfId="14692"/>
    <cellStyle name="20% - Accent2 3 2 3 4 2 2" xfId="28241"/>
    <cellStyle name="20% - Accent2 3 2 3 4 3" xfId="18070"/>
    <cellStyle name="20% - Accent2 3 2 3 5" xfId="748"/>
    <cellStyle name="20% - Accent2 3 2 3 5 2" xfId="16651"/>
    <cellStyle name="20% - Accent2 3 2 3 5 2 2" xfId="30058"/>
    <cellStyle name="20% - Accent2 3 2 3 5 3" xfId="18071"/>
    <cellStyle name="20% - Accent2 3 2 3 6" xfId="8924"/>
    <cellStyle name="20% - Accent2 3 2 3 6 2" xfId="23399"/>
    <cellStyle name="20% - Accent2 3 2 3 7" xfId="18067"/>
    <cellStyle name="20% - Accent2 3 2 4" xfId="749"/>
    <cellStyle name="20% - Accent2 3 2 4 2" xfId="750"/>
    <cellStyle name="20% - Accent2 3 2 4 2 2" xfId="14693"/>
    <cellStyle name="20% - Accent2 3 2 4 2 2 2" xfId="28242"/>
    <cellStyle name="20% - Accent2 3 2 4 2 3" xfId="18073"/>
    <cellStyle name="20% - Accent2 3 2 4 3" xfId="10646"/>
    <cellStyle name="20% - Accent2 3 2 4 3 2" xfId="24588"/>
    <cellStyle name="20% - Accent2 3 2 4 4" xfId="18072"/>
    <cellStyle name="20% - Accent2 3 2 5" xfId="751"/>
    <cellStyle name="20% - Accent2 3 2 5 2" xfId="12028"/>
    <cellStyle name="20% - Accent2 3 2 5 2 2" xfId="25743"/>
    <cellStyle name="20% - Accent2 3 2 5 3" xfId="18074"/>
    <cellStyle name="20% - Accent2 3 2 6" xfId="752"/>
    <cellStyle name="20% - Accent2 3 2 6 2" xfId="12642"/>
    <cellStyle name="20% - Accent2 3 2 6 2 2" xfId="26354"/>
    <cellStyle name="20% - Accent2 3 2 6 3" xfId="18075"/>
    <cellStyle name="20% - Accent2 3 2 7" xfId="753"/>
    <cellStyle name="20% - Accent2 3 2 7 2" xfId="13603"/>
    <cellStyle name="20% - Accent2 3 2 7 2 2" xfId="27152"/>
    <cellStyle name="20% - Accent2 3 2 7 3" xfId="18076"/>
    <cellStyle name="20% - Accent2 3 2 8" xfId="754"/>
    <cellStyle name="20% - Accent2 3 2 8 2" xfId="14184"/>
    <cellStyle name="20% - Accent2 3 2 8 2 2" xfId="27733"/>
    <cellStyle name="20% - Accent2 3 2 8 3" xfId="18077"/>
    <cellStyle name="20% - Accent2 3 2 9" xfId="755"/>
    <cellStyle name="20% - Accent2 3 2 9 2" xfId="14688"/>
    <cellStyle name="20% - Accent2 3 2 9 2 2" xfId="28237"/>
    <cellStyle name="20% - Accent2 3 2 9 3" xfId="18078"/>
    <cellStyle name="20% - Accent2 3 3" xfId="756"/>
    <cellStyle name="20% - Accent2 3 3 10" xfId="8925"/>
    <cellStyle name="20% - Accent2 3 3 10 2" xfId="23400"/>
    <cellStyle name="20% - Accent2 3 3 11" xfId="18079"/>
    <cellStyle name="20% - Accent2 3 3 2" xfId="757"/>
    <cellStyle name="20% - Accent2 3 3 2 2" xfId="758"/>
    <cellStyle name="20% - Accent2 3 3 2 2 2" xfId="10651"/>
    <cellStyle name="20% - Accent2 3 3 2 2 2 2" xfId="24593"/>
    <cellStyle name="20% - Accent2 3 3 2 2 3" xfId="18081"/>
    <cellStyle name="20% - Accent2 3 3 2 3" xfId="759"/>
    <cellStyle name="20% - Accent2 3 3 2 3 2" xfId="12791"/>
    <cellStyle name="20% - Accent2 3 3 2 3 2 2" xfId="26503"/>
    <cellStyle name="20% - Accent2 3 3 2 3 3" xfId="18082"/>
    <cellStyle name="20% - Accent2 3 3 2 4" xfId="760"/>
    <cellStyle name="20% - Accent2 3 3 2 4 2" xfId="14695"/>
    <cellStyle name="20% - Accent2 3 3 2 4 2 2" xfId="28244"/>
    <cellStyle name="20% - Accent2 3 3 2 4 3" xfId="18083"/>
    <cellStyle name="20% - Accent2 3 3 2 5" xfId="761"/>
    <cellStyle name="20% - Accent2 3 3 2 5 2" xfId="16797"/>
    <cellStyle name="20% - Accent2 3 3 2 5 2 2" xfId="30204"/>
    <cellStyle name="20% - Accent2 3 3 2 5 3" xfId="18084"/>
    <cellStyle name="20% - Accent2 3 3 2 6" xfId="8926"/>
    <cellStyle name="20% - Accent2 3 3 2 6 2" xfId="23401"/>
    <cellStyle name="20% - Accent2 3 3 2 7" xfId="18080"/>
    <cellStyle name="20% - Accent2 3 3 3" xfId="762"/>
    <cellStyle name="20% - Accent2 3 3 3 2" xfId="763"/>
    <cellStyle name="20% - Accent2 3 3 3 2 2" xfId="14696"/>
    <cellStyle name="20% - Accent2 3 3 3 2 2 2" xfId="28245"/>
    <cellStyle name="20% - Accent2 3 3 3 2 3" xfId="18086"/>
    <cellStyle name="20% - Accent2 3 3 3 3" xfId="10650"/>
    <cellStyle name="20% - Accent2 3 3 3 3 2" xfId="24592"/>
    <cellStyle name="20% - Accent2 3 3 3 4" xfId="18085"/>
    <cellStyle name="20% - Accent2 3 3 4" xfId="764"/>
    <cellStyle name="20% - Accent2 3 3 4 2" xfId="12185"/>
    <cellStyle name="20% - Accent2 3 3 4 2 2" xfId="25897"/>
    <cellStyle name="20% - Accent2 3 3 4 3" xfId="18087"/>
    <cellStyle name="20% - Accent2 3 3 5" xfId="765"/>
    <cellStyle name="20% - Accent2 3 3 5 2" xfId="12734"/>
    <cellStyle name="20% - Accent2 3 3 5 2 2" xfId="26446"/>
    <cellStyle name="20% - Accent2 3 3 5 3" xfId="18088"/>
    <cellStyle name="20% - Accent2 3 3 6" xfId="766"/>
    <cellStyle name="20% - Accent2 3 3 6 2" xfId="13749"/>
    <cellStyle name="20% - Accent2 3 3 6 2 2" xfId="27298"/>
    <cellStyle name="20% - Accent2 3 3 6 3" xfId="18089"/>
    <cellStyle name="20% - Accent2 3 3 7" xfId="767"/>
    <cellStyle name="20% - Accent2 3 3 7 2" xfId="14330"/>
    <cellStyle name="20% - Accent2 3 3 7 2 2" xfId="27879"/>
    <cellStyle name="20% - Accent2 3 3 7 3" xfId="18090"/>
    <cellStyle name="20% - Accent2 3 3 8" xfId="768"/>
    <cellStyle name="20% - Accent2 3 3 8 2" xfId="14694"/>
    <cellStyle name="20% - Accent2 3 3 8 2 2" xfId="28243"/>
    <cellStyle name="20% - Accent2 3 3 8 3" xfId="18091"/>
    <cellStyle name="20% - Accent2 3 3 9" xfId="769"/>
    <cellStyle name="20% - Accent2 3 3 9 2" xfId="16216"/>
    <cellStyle name="20% - Accent2 3 3 9 2 2" xfId="29623"/>
    <cellStyle name="20% - Accent2 3 3 9 3" xfId="18092"/>
    <cellStyle name="20% - Accent2 3 4" xfId="770"/>
    <cellStyle name="20% - Accent2 3 4 2" xfId="771"/>
    <cellStyle name="20% - Accent2 3 4 2 2" xfId="10652"/>
    <cellStyle name="20% - Accent2 3 4 2 2 2" xfId="24594"/>
    <cellStyle name="20% - Accent2 3 4 2 3" xfId="18094"/>
    <cellStyle name="20% - Accent2 3 4 3" xfId="772"/>
    <cellStyle name="20% - Accent2 3 4 3 2" xfId="12758"/>
    <cellStyle name="20% - Accent2 3 4 3 2 2" xfId="26470"/>
    <cellStyle name="20% - Accent2 3 4 3 3" xfId="18095"/>
    <cellStyle name="20% - Accent2 3 4 4" xfId="773"/>
    <cellStyle name="20% - Accent2 3 4 4 2" xfId="14697"/>
    <cellStyle name="20% - Accent2 3 4 4 2 2" xfId="28246"/>
    <cellStyle name="20% - Accent2 3 4 4 3" xfId="18096"/>
    <cellStyle name="20% - Accent2 3 4 5" xfId="774"/>
    <cellStyle name="20% - Accent2 3 4 5 2" xfId="17144"/>
    <cellStyle name="20% - Accent2 3 4 5 2 2" xfId="30503"/>
    <cellStyle name="20% - Accent2 3 4 5 3" xfId="18097"/>
    <cellStyle name="20% - Accent2 3 4 6" xfId="8927"/>
    <cellStyle name="20% - Accent2 3 4 6 2" xfId="23402"/>
    <cellStyle name="20% - Accent2 3 4 7" xfId="18093"/>
    <cellStyle name="20% - Accent2 3 5" xfId="775"/>
    <cellStyle name="20% - Accent2 3 5 2" xfId="776"/>
    <cellStyle name="20% - Accent2 3 5 2 2" xfId="10653"/>
    <cellStyle name="20% - Accent2 3 5 2 2 2" xfId="24595"/>
    <cellStyle name="20% - Accent2 3 5 2 3" xfId="18099"/>
    <cellStyle name="20% - Accent2 3 5 3" xfId="777"/>
    <cellStyle name="20% - Accent2 3 5 3 2" xfId="12424"/>
    <cellStyle name="20% - Accent2 3 5 3 2 2" xfId="26136"/>
    <cellStyle name="20% - Accent2 3 5 3 3" xfId="18100"/>
    <cellStyle name="20% - Accent2 3 5 4" xfId="778"/>
    <cellStyle name="20% - Accent2 3 5 4 2" xfId="14698"/>
    <cellStyle name="20% - Accent2 3 5 4 2 2" xfId="28247"/>
    <cellStyle name="20% - Accent2 3 5 4 3" xfId="18101"/>
    <cellStyle name="20% - Accent2 3 5 5" xfId="779"/>
    <cellStyle name="20% - Accent2 3 5 5 2" xfId="17233"/>
    <cellStyle name="20% - Accent2 3 5 5 2 2" xfId="30592"/>
    <cellStyle name="20% - Accent2 3 5 5 3" xfId="18102"/>
    <cellStyle name="20% - Accent2 3 5 6" xfId="8928"/>
    <cellStyle name="20% - Accent2 3 5 6 2" xfId="23403"/>
    <cellStyle name="20% - Accent2 3 5 7" xfId="18098"/>
    <cellStyle name="20% - Accent2 3 6" xfId="780"/>
    <cellStyle name="20% - Accent2 3 6 2" xfId="781"/>
    <cellStyle name="20% - Accent2 3 6 2 2" xfId="14699"/>
    <cellStyle name="20% - Accent2 3 6 2 2 2" xfId="28248"/>
    <cellStyle name="20% - Accent2 3 6 2 3" xfId="18104"/>
    <cellStyle name="20% - Accent2 3 6 3" xfId="782"/>
    <cellStyle name="20% - Accent2 3 6 3 2" xfId="16508"/>
    <cellStyle name="20% - Accent2 3 6 3 2 2" xfId="29915"/>
    <cellStyle name="20% - Accent2 3 6 3 3" xfId="18105"/>
    <cellStyle name="20% - Accent2 3 6 4" xfId="10645"/>
    <cellStyle name="20% - Accent2 3 6 4 2" xfId="24587"/>
    <cellStyle name="20% - Accent2 3 6 5" xfId="18103"/>
    <cellStyle name="20% - Accent2 3 7" xfId="783"/>
    <cellStyle name="20% - Accent2 3 7 2" xfId="11880"/>
    <cellStyle name="20% - Accent2 3 7 2 2" xfId="25595"/>
    <cellStyle name="20% - Accent2 3 7 3" xfId="18106"/>
    <cellStyle name="20% - Accent2 3 8" xfId="784"/>
    <cellStyle name="20% - Accent2 3 8 2" xfId="12755"/>
    <cellStyle name="20% - Accent2 3 8 2 2" xfId="26467"/>
    <cellStyle name="20% - Accent2 3 8 3" xfId="18107"/>
    <cellStyle name="20% - Accent2 3 9" xfId="785"/>
    <cellStyle name="20% - Accent2 3 9 2" xfId="13460"/>
    <cellStyle name="20% - Accent2 3 9 2 2" xfId="27009"/>
    <cellStyle name="20% - Accent2 3 9 3" xfId="18108"/>
    <cellStyle name="20% - Accent2 30" xfId="23250"/>
    <cellStyle name="20% - Accent2 4" xfId="786"/>
    <cellStyle name="20% - Accent2 4 10" xfId="787"/>
    <cellStyle name="20% - Accent2 4 10 2" xfId="14700"/>
    <cellStyle name="20% - Accent2 4 10 2 2" xfId="28249"/>
    <cellStyle name="20% - Accent2 4 10 3" xfId="18110"/>
    <cellStyle name="20% - Accent2 4 11" xfId="788"/>
    <cellStyle name="20% - Accent2 4 11 2" xfId="15880"/>
    <cellStyle name="20% - Accent2 4 11 2 2" xfId="29287"/>
    <cellStyle name="20% - Accent2 4 11 3" xfId="18111"/>
    <cellStyle name="20% - Accent2 4 12" xfId="8929"/>
    <cellStyle name="20% - Accent2 4 12 2" xfId="23404"/>
    <cellStyle name="20% - Accent2 4 13" xfId="18109"/>
    <cellStyle name="20% - Accent2 4 2" xfId="789"/>
    <cellStyle name="20% - Accent2 4 2 10" xfId="790"/>
    <cellStyle name="20% - Accent2 4 2 10 2" xfId="16023"/>
    <cellStyle name="20% - Accent2 4 2 10 2 2" xfId="29430"/>
    <cellStyle name="20% - Accent2 4 2 10 3" xfId="18113"/>
    <cellStyle name="20% - Accent2 4 2 11" xfId="8930"/>
    <cellStyle name="20% - Accent2 4 2 11 2" xfId="23405"/>
    <cellStyle name="20% - Accent2 4 2 12" xfId="18112"/>
    <cellStyle name="20% - Accent2 4 2 2" xfId="791"/>
    <cellStyle name="20% - Accent2 4 2 2 10" xfId="8931"/>
    <cellStyle name="20% - Accent2 4 2 2 10 2" xfId="23406"/>
    <cellStyle name="20% - Accent2 4 2 2 11" xfId="18114"/>
    <cellStyle name="20% - Accent2 4 2 2 2" xfId="792"/>
    <cellStyle name="20% - Accent2 4 2 2 2 2" xfId="793"/>
    <cellStyle name="20% - Accent2 4 2 2 2 2 2" xfId="10657"/>
    <cellStyle name="20% - Accent2 4 2 2 2 2 2 2" xfId="24599"/>
    <cellStyle name="20% - Accent2 4 2 2 2 2 3" xfId="18116"/>
    <cellStyle name="20% - Accent2 4 2 2 2 3" xfId="794"/>
    <cellStyle name="20% - Accent2 4 2 2 2 3 2" xfId="12615"/>
    <cellStyle name="20% - Accent2 4 2 2 2 3 2 2" xfId="26327"/>
    <cellStyle name="20% - Accent2 4 2 2 2 3 3" xfId="18117"/>
    <cellStyle name="20% - Accent2 4 2 2 2 4" xfId="795"/>
    <cellStyle name="20% - Accent2 4 2 2 2 4 2" xfId="14703"/>
    <cellStyle name="20% - Accent2 4 2 2 2 4 2 2" xfId="28252"/>
    <cellStyle name="20% - Accent2 4 2 2 2 4 3" xfId="18118"/>
    <cellStyle name="20% - Accent2 4 2 2 2 5" xfId="796"/>
    <cellStyle name="20% - Accent2 4 2 2 2 5 2" xfId="16893"/>
    <cellStyle name="20% - Accent2 4 2 2 2 5 2 2" xfId="30300"/>
    <cellStyle name="20% - Accent2 4 2 2 2 5 3" xfId="18119"/>
    <cellStyle name="20% - Accent2 4 2 2 2 6" xfId="8932"/>
    <cellStyle name="20% - Accent2 4 2 2 2 6 2" xfId="23407"/>
    <cellStyle name="20% - Accent2 4 2 2 2 7" xfId="18115"/>
    <cellStyle name="20% - Accent2 4 2 2 3" xfId="797"/>
    <cellStyle name="20% - Accent2 4 2 2 3 2" xfId="798"/>
    <cellStyle name="20% - Accent2 4 2 2 3 2 2" xfId="14704"/>
    <cellStyle name="20% - Accent2 4 2 2 3 2 2 2" xfId="28253"/>
    <cellStyle name="20% - Accent2 4 2 2 3 2 3" xfId="18121"/>
    <cellStyle name="20% - Accent2 4 2 2 3 3" xfId="10656"/>
    <cellStyle name="20% - Accent2 4 2 2 3 3 2" xfId="24598"/>
    <cellStyle name="20% - Accent2 4 2 2 3 4" xfId="18120"/>
    <cellStyle name="20% - Accent2 4 2 2 4" xfId="799"/>
    <cellStyle name="20% - Accent2 4 2 2 4 2" xfId="12281"/>
    <cellStyle name="20% - Accent2 4 2 2 4 2 2" xfId="25993"/>
    <cellStyle name="20% - Accent2 4 2 2 4 3" xfId="18122"/>
    <cellStyle name="20% - Accent2 4 2 2 5" xfId="800"/>
    <cellStyle name="20% - Accent2 4 2 2 5 2" xfId="11779"/>
    <cellStyle name="20% - Accent2 4 2 2 5 2 2" xfId="25494"/>
    <cellStyle name="20% - Accent2 4 2 2 5 3" xfId="18123"/>
    <cellStyle name="20% - Accent2 4 2 2 6" xfId="801"/>
    <cellStyle name="20% - Accent2 4 2 2 6 2" xfId="13845"/>
    <cellStyle name="20% - Accent2 4 2 2 6 2 2" xfId="27394"/>
    <cellStyle name="20% - Accent2 4 2 2 6 3" xfId="18124"/>
    <cellStyle name="20% - Accent2 4 2 2 7" xfId="802"/>
    <cellStyle name="20% - Accent2 4 2 2 7 2" xfId="14426"/>
    <cellStyle name="20% - Accent2 4 2 2 7 2 2" xfId="27975"/>
    <cellStyle name="20% - Accent2 4 2 2 7 3" xfId="18125"/>
    <cellStyle name="20% - Accent2 4 2 2 8" xfId="803"/>
    <cellStyle name="20% - Accent2 4 2 2 8 2" xfId="14702"/>
    <cellStyle name="20% - Accent2 4 2 2 8 2 2" xfId="28251"/>
    <cellStyle name="20% - Accent2 4 2 2 8 3" xfId="18126"/>
    <cellStyle name="20% - Accent2 4 2 2 9" xfId="804"/>
    <cellStyle name="20% - Accent2 4 2 2 9 2" xfId="16312"/>
    <cellStyle name="20% - Accent2 4 2 2 9 2 2" xfId="29719"/>
    <cellStyle name="20% - Accent2 4 2 2 9 3" xfId="18127"/>
    <cellStyle name="20% - Accent2 4 2 3" xfId="805"/>
    <cellStyle name="20% - Accent2 4 2 3 2" xfId="806"/>
    <cellStyle name="20% - Accent2 4 2 3 2 2" xfId="10658"/>
    <cellStyle name="20% - Accent2 4 2 3 2 2 2" xfId="24600"/>
    <cellStyle name="20% - Accent2 4 2 3 2 3" xfId="18129"/>
    <cellStyle name="20% - Accent2 4 2 3 3" xfId="807"/>
    <cellStyle name="20% - Accent2 4 2 3 3 2" xfId="11762"/>
    <cellStyle name="20% - Accent2 4 2 3 3 2 2" xfId="25477"/>
    <cellStyle name="20% - Accent2 4 2 3 3 3" xfId="18130"/>
    <cellStyle name="20% - Accent2 4 2 3 4" xfId="808"/>
    <cellStyle name="20% - Accent2 4 2 3 4 2" xfId="14705"/>
    <cellStyle name="20% - Accent2 4 2 3 4 2 2" xfId="28254"/>
    <cellStyle name="20% - Accent2 4 2 3 4 3" xfId="18131"/>
    <cellStyle name="20% - Accent2 4 2 3 5" xfId="809"/>
    <cellStyle name="20% - Accent2 4 2 3 5 2" xfId="16604"/>
    <cellStyle name="20% - Accent2 4 2 3 5 2 2" xfId="30011"/>
    <cellStyle name="20% - Accent2 4 2 3 5 3" xfId="18132"/>
    <cellStyle name="20% - Accent2 4 2 3 6" xfId="8933"/>
    <cellStyle name="20% - Accent2 4 2 3 6 2" xfId="23408"/>
    <cellStyle name="20% - Accent2 4 2 3 7" xfId="18128"/>
    <cellStyle name="20% - Accent2 4 2 4" xfId="810"/>
    <cellStyle name="20% - Accent2 4 2 4 2" xfId="811"/>
    <cellStyle name="20% - Accent2 4 2 4 2 2" xfId="14706"/>
    <cellStyle name="20% - Accent2 4 2 4 2 2 2" xfId="28255"/>
    <cellStyle name="20% - Accent2 4 2 4 2 3" xfId="18134"/>
    <cellStyle name="20% - Accent2 4 2 4 3" xfId="10655"/>
    <cellStyle name="20% - Accent2 4 2 4 3 2" xfId="24597"/>
    <cellStyle name="20% - Accent2 4 2 4 4" xfId="18133"/>
    <cellStyle name="20% - Accent2 4 2 5" xfId="812"/>
    <cellStyle name="20% - Accent2 4 2 5 2" xfId="11981"/>
    <cellStyle name="20% - Accent2 4 2 5 2 2" xfId="25696"/>
    <cellStyle name="20% - Accent2 4 2 5 3" xfId="18135"/>
    <cellStyle name="20% - Accent2 4 2 6" xfId="813"/>
    <cellStyle name="20% - Accent2 4 2 6 2" xfId="12746"/>
    <cellStyle name="20% - Accent2 4 2 6 2 2" xfId="26458"/>
    <cellStyle name="20% - Accent2 4 2 6 3" xfId="18136"/>
    <cellStyle name="20% - Accent2 4 2 7" xfId="814"/>
    <cellStyle name="20% - Accent2 4 2 7 2" xfId="13556"/>
    <cellStyle name="20% - Accent2 4 2 7 2 2" xfId="27105"/>
    <cellStyle name="20% - Accent2 4 2 7 3" xfId="18137"/>
    <cellStyle name="20% - Accent2 4 2 8" xfId="815"/>
    <cellStyle name="20% - Accent2 4 2 8 2" xfId="14137"/>
    <cellStyle name="20% - Accent2 4 2 8 2 2" xfId="27686"/>
    <cellStyle name="20% - Accent2 4 2 8 3" xfId="18138"/>
    <cellStyle name="20% - Accent2 4 2 9" xfId="816"/>
    <cellStyle name="20% - Accent2 4 2 9 2" xfId="14701"/>
    <cellStyle name="20% - Accent2 4 2 9 2 2" xfId="28250"/>
    <cellStyle name="20% - Accent2 4 2 9 3" xfId="18139"/>
    <cellStyle name="20% - Accent2 4 3" xfId="817"/>
    <cellStyle name="20% - Accent2 4 3 10" xfId="8934"/>
    <cellStyle name="20% - Accent2 4 3 10 2" xfId="23409"/>
    <cellStyle name="20% - Accent2 4 3 11" xfId="18140"/>
    <cellStyle name="20% - Accent2 4 3 2" xfId="818"/>
    <cellStyle name="20% - Accent2 4 3 2 2" xfId="819"/>
    <cellStyle name="20% - Accent2 4 3 2 2 2" xfId="10660"/>
    <cellStyle name="20% - Accent2 4 3 2 2 2 2" xfId="24602"/>
    <cellStyle name="20% - Accent2 4 3 2 2 3" xfId="18142"/>
    <cellStyle name="20% - Accent2 4 3 2 3" xfId="820"/>
    <cellStyle name="20% - Accent2 4 3 2 3 2" xfId="12584"/>
    <cellStyle name="20% - Accent2 4 3 2 3 2 2" xfId="26296"/>
    <cellStyle name="20% - Accent2 4 3 2 3 3" xfId="18143"/>
    <cellStyle name="20% - Accent2 4 3 2 4" xfId="821"/>
    <cellStyle name="20% - Accent2 4 3 2 4 2" xfId="14708"/>
    <cellStyle name="20% - Accent2 4 3 2 4 2 2" xfId="28257"/>
    <cellStyle name="20% - Accent2 4 3 2 4 3" xfId="18144"/>
    <cellStyle name="20% - Accent2 4 3 2 5" xfId="822"/>
    <cellStyle name="20% - Accent2 4 3 2 5 2" xfId="16753"/>
    <cellStyle name="20% - Accent2 4 3 2 5 2 2" xfId="30160"/>
    <cellStyle name="20% - Accent2 4 3 2 5 3" xfId="18145"/>
    <cellStyle name="20% - Accent2 4 3 2 6" xfId="8935"/>
    <cellStyle name="20% - Accent2 4 3 2 6 2" xfId="23410"/>
    <cellStyle name="20% - Accent2 4 3 2 7" xfId="18141"/>
    <cellStyle name="20% - Accent2 4 3 3" xfId="823"/>
    <cellStyle name="20% - Accent2 4 3 3 2" xfId="824"/>
    <cellStyle name="20% - Accent2 4 3 3 2 2" xfId="14709"/>
    <cellStyle name="20% - Accent2 4 3 3 2 2 2" xfId="28258"/>
    <cellStyle name="20% - Accent2 4 3 3 2 3" xfId="18147"/>
    <cellStyle name="20% - Accent2 4 3 3 3" xfId="10659"/>
    <cellStyle name="20% - Accent2 4 3 3 3 2" xfId="24601"/>
    <cellStyle name="20% - Accent2 4 3 3 4" xfId="18146"/>
    <cellStyle name="20% - Accent2 4 3 4" xfId="825"/>
    <cellStyle name="20% - Accent2 4 3 4 2" xfId="12141"/>
    <cellStyle name="20% - Accent2 4 3 4 2 2" xfId="25853"/>
    <cellStyle name="20% - Accent2 4 3 4 3" xfId="18148"/>
    <cellStyle name="20% - Accent2 4 3 5" xfId="826"/>
    <cellStyle name="20% - Accent2 4 3 5 2" xfId="11784"/>
    <cellStyle name="20% - Accent2 4 3 5 2 2" xfId="25499"/>
    <cellStyle name="20% - Accent2 4 3 5 3" xfId="18149"/>
    <cellStyle name="20% - Accent2 4 3 6" xfId="827"/>
    <cellStyle name="20% - Accent2 4 3 6 2" xfId="13705"/>
    <cellStyle name="20% - Accent2 4 3 6 2 2" xfId="27254"/>
    <cellStyle name="20% - Accent2 4 3 6 3" xfId="18150"/>
    <cellStyle name="20% - Accent2 4 3 7" xfId="828"/>
    <cellStyle name="20% - Accent2 4 3 7 2" xfId="14286"/>
    <cellStyle name="20% - Accent2 4 3 7 2 2" xfId="27835"/>
    <cellStyle name="20% - Accent2 4 3 7 3" xfId="18151"/>
    <cellStyle name="20% - Accent2 4 3 8" xfId="829"/>
    <cellStyle name="20% - Accent2 4 3 8 2" xfId="14707"/>
    <cellStyle name="20% - Accent2 4 3 8 2 2" xfId="28256"/>
    <cellStyle name="20% - Accent2 4 3 8 3" xfId="18152"/>
    <cellStyle name="20% - Accent2 4 3 9" xfId="830"/>
    <cellStyle name="20% - Accent2 4 3 9 2" xfId="16172"/>
    <cellStyle name="20% - Accent2 4 3 9 2 2" xfId="29579"/>
    <cellStyle name="20% - Accent2 4 3 9 3" xfId="18153"/>
    <cellStyle name="20% - Accent2 4 4" xfId="831"/>
    <cellStyle name="20% - Accent2 4 4 2" xfId="832"/>
    <cellStyle name="20% - Accent2 4 4 2 2" xfId="10661"/>
    <cellStyle name="20% - Accent2 4 4 2 2 2" xfId="24603"/>
    <cellStyle name="20% - Accent2 4 4 2 3" xfId="18155"/>
    <cellStyle name="20% - Accent2 4 4 3" xfId="833"/>
    <cellStyle name="20% - Accent2 4 4 3 2" xfId="12541"/>
    <cellStyle name="20% - Accent2 4 4 3 2 2" xfId="26253"/>
    <cellStyle name="20% - Accent2 4 4 3 3" xfId="18156"/>
    <cellStyle name="20% - Accent2 4 4 4" xfId="834"/>
    <cellStyle name="20% - Accent2 4 4 4 2" xfId="14710"/>
    <cellStyle name="20% - Accent2 4 4 4 2 2" xfId="28259"/>
    <cellStyle name="20% - Accent2 4 4 4 3" xfId="18157"/>
    <cellStyle name="20% - Accent2 4 4 5" xfId="835"/>
    <cellStyle name="20% - Accent2 4 4 5 2" xfId="16461"/>
    <cellStyle name="20% - Accent2 4 4 5 2 2" xfId="29868"/>
    <cellStyle name="20% - Accent2 4 4 5 3" xfId="18158"/>
    <cellStyle name="20% - Accent2 4 4 6" xfId="8936"/>
    <cellStyle name="20% - Accent2 4 4 6 2" xfId="23411"/>
    <cellStyle name="20% - Accent2 4 4 7" xfId="18154"/>
    <cellStyle name="20% - Accent2 4 5" xfId="836"/>
    <cellStyle name="20% - Accent2 4 5 2" xfId="837"/>
    <cellStyle name="20% - Accent2 4 5 2 2" xfId="14711"/>
    <cellStyle name="20% - Accent2 4 5 2 2 2" xfId="28260"/>
    <cellStyle name="20% - Accent2 4 5 2 3" xfId="18160"/>
    <cellStyle name="20% - Accent2 4 5 3" xfId="10654"/>
    <cellStyle name="20% - Accent2 4 5 3 2" xfId="24596"/>
    <cellStyle name="20% - Accent2 4 5 4" xfId="18159"/>
    <cellStyle name="20% - Accent2 4 6" xfId="838"/>
    <cellStyle name="20% - Accent2 4 6 2" xfId="11812"/>
    <cellStyle name="20% - Accent2 4 6 2 2" xfId="25527"/>
    <cellStyle name="20% - Accent2 4 6 3" xfId="18161"/>
    <cellStyle name="20% - Accent2 4 7" xfId="839"/>
    <cellStyle name="20% - Accent2 4 7 2" xfId="12549"/>
    <cellStyle name="20% - Accent2 4 7 2 2" xfId="26261"/>
    <cellStyle name="20% - Accent2 4 7 3" xfId="18162"/>
    <cellStyle name="20% - Accent2 4 8" xfId="840"/>
    <cellStyle name="20% - Accent2 4 8 2" xfId="13413"/>
    <cellStyle name="20% - Accent2 4 8 2 2" xfId="26962"/>
    <cellStyle name="20% - Accent2 4 8 3" xfId="18163"/>
    <cellStyle name="20% - Accent2 4 9" xfId="841"/>
    <cellStyle name="20% - Accent2 4 9 2" xfId="13994"/>
    <cellStyle name="20% - Accent2 4 9 2 2" xfId="27543"/>
    <cellStyle name="20% - Accent2 4 9 3" xfId="18164"/>
    <cellStyle name="20% - Accent2 5" xfId="842"/>
    <cellStyle name="20% - Accent2 5 10" xfId="843"/>
    <cellStyle name="20% - Accent2 5 10 2" xfId="14712"/>
    <cellStyle name="20% - Accent2 5 10 2 2" xfId="28261"/>
    <cellStyle name="20% - Accent2 5 10 3" xfId="18166"/>
    <cellStyle name="20% - Accent2 5 11" xfId="844"/>
    <cellStyle name="20% - Accent2 5 11 2" xfId="15863"/>
    <cellStyle name="20% - Accent2 5 11 2 2" xfId="29270"/>
    <cellStyle name="20% - Accent2 5 11 3" xfId="18167"/>
    <cellStyle name="20% - Accent2 5 12" xfId="8937"/>
    <cellStyle name="20% - Accent2 5 12 2" xfId="23412"/>
    <cellStyle name="20% - Accent2 5 13" xfId="18165"/>
    <cellStyle name="20% - Accent2 5 2" xfId="845"/>
    <cellStyle name="20% - Accent2 5 2 10" xfId="846"/>
    <cellStyle name="20% - Accent2 5 2 10 2" xfId="16006"/>
    <cellStyle name="20% - Accent2 5 2 10 2 2" xfId="29413"/>
    <cellStyle name="20% - Accent2 5 2 10 3" xfId="18169"/>
    <cellStyle name="20% - Accent2 5 2 11" xfId="8938"/>
    <cellStyle name="20% - Accent2 5 2 11 2" xfId="23413"/>
    <cellStyle name="20% - Accent2 5 2 12" xfId="18168"/>
    <cellStyle name="20% - Accent2 5 2 2" xfId="847"/>
    <cellStyle name="20% - Accent2 5 2 2 10" xfId="8939"/>
    <cellStyle name="20% - Accent2 5 2 2 10 2" xfId="23414"/>
    <cellStyle name="20% - Accent2 5 2 2 11" xfId="18170"/>
    <cellStyle name="20% - Accent2 5 2 2 2" xfId="848"/>
    <cellStyle name="20% - Accent2 5 2 2 2 2" xfId="849"/>
    <cellStyle name="20% - Accent2 5 2 2 2 2 2" xfId="10665"/>
    <cellStyle name="20% - Accent2 5 2 2 2 2 2 2" xfId="24607"/>
    <cellStyle name="20% - Accent2 5 2 2 2 2 3" xfId="18172"/>
    <cellStyle name="20% - Accent2 5 2 2 2 3" xfId="850"/>
    <cellStyle name="20% - Accent2 5 2 2 2 3 2" xfId="12473"/>
    <cellStyle name="20% - Accent2 5 2 2 2 3 2 2" xfId="26185"/>
    <cellStyle name="20% - Accent2 5 2 2 2 3 3" xfId="18173"/>
    <cellStyle name="20% - Accent2 5 2 2 2 4" xfId="851"/>
    <cellStyle name="20% - Accent2 5 2 2 2 4 2" xfId="14715"/>
    <cellStyle name="20% - Accent2 5 2 2 2 4 2 2" xfId="28264"/>
    <cellStyle name="20% - Accent2 5 2 2 2 4 3" xfId="18174"/>
    <cellStyle name="20% - Accent2 5 2 2 2 5" xfId="852"/>
    <cellStyle name="20% - Accent2 5 2 2 2 5 2" xfId="16876"/>
    <cellStyle name="20% - Accent2 5 2 2 2 5 2 2" xfId="30283"/>
    <cellStyle name="20% - Accent2 5 2 2 2 5 3" xfId="18175"/>
    <cellStyle name="20% - Accent2 5 2 2 2 6" xfId="8940"/>
    <cellStyle name="20% - Accent2 5 2 2 2 6 2" xfId="23415"/>
    <cellStyle name="20% - Accent2 5 2 2 2 7" xfId="18171"/>
    <cellStyle name="20% - Accent2 5 2 2 3" xfId="853"/>
    <cellStyle name="20% - Accent2 5 2 2 3 2" xfId="854"/>
    <cellStyle name="20% - Accent2 5 2 2 3 2 2" xfId="14716"/>
    <cellStyle name="20% - Accent2 5 2 2 3 2 2 2" xfId="28265"/>
    <cellStyle name="20% - Accent2 5 2 2 3 2 3" xfId="18177"/>
    <cellStyle name="20% - Accent2 5 2 2 3 3" xfId="10664"/>
    <cellStyle name="20% - Accent2 5 2 2 3 3 2" xfId="24606"/>
    <cellStyle name="20% - Accent2 5 2 2 3 4" xfId="18176"/>
    <cellStyle name="20% - Accent2 5 2 2 4" xfId="855"/>
    <cellStyle name="20% - Accent2 5 2 2 4 2" xfId="12264"/>
    <cellStyle name="20% - Accent2 5 2 2 4 2 2" xfId="25976"/>
    <cellStyle name="20% - Accent2 5 2 2 4 3" xfId="18178"/>
    <cellStyle name="20% - Accent2 5 2 2 5" xfId="856"/>
    <cellStyle name="20% - Accent2 5 2 2 5 2" xfId="12566"/>
    <cellStyle name="20% - Accent2 5 2 2 5 2 2" xfId="26278"/>
    <cellStyle name="20% - Accent2 5 2 2 5 3" xfId="18179"/>
    <cellStyle name="20% - Accent2 5 2 2 6" xfId="857"/>
    <cellStyle name="20% - Accent2 5 2 2 6 2" xfId="13828"/>
    <cellStyle name="20% - Accent2 5 2 2 6 2 2" xfId="27377"/>
    <cellStyle name="20% - Accent2 5 2 2 6 3" xfId="18180"/>
    <cellStyle name="20% - Accent2 5 2 2 7" xfId="858"/>
    <cellStyle name="20% - Accent2 5 2 2 7 2" xfId="14409"/>
    <cellStyle name="20% - Accent2 5 2 2 7 2 2" xfId="27958"/>
    <cellStyle name="20% - Accent2 5 2 2 7 3" xfId="18181"/>
    <cellStyle name="20% - Accent2 5 2 2 8" xfId="859"/>
    <cellStyle name="20% - Accent2 5 2 2 8 2" xfId="14714"/>
    <cellStyle name="20% - Accent2 5 2 2 8 2 2" xfId="28263"/>
    <cellStyle name="20% - Accent2 5 2 2 8 3" xfId="18182"/>
    <cellStyle name="20% - Accent2 5 2 2 9" xfId="860"/>
    <cellStyle name="20% - Accent2 5 2 2 9 2" xfId="16295"/>
    <cellStyle name="20% - Accent2 5 2 2 9 2 2" xfId="29702"/>
    <cellStyle name="20% - Accent2 5 2 2 9 3" xfId="18183"/>
    <cellStyle name="20% - Accent2 5 2 3" xfId="861"/>
    <cellStyle name="20% - Accent2 5 2 3 2" xfId="862"/>
    <cellStyle name="20% - Accent2 5 2 3 2 2" xfId="10666"/>
    <cellStyle name="20% - Accent2 5 2 3 2 2 2" xfId="24608"/>
    <cellStyle name="20% - Accent2 5 2 3 2 3" xfId="18185"/>
    <cellStyle name="20% - Accent2 5 2 3 3" xfId="863"/>
    <cellStyle name="20% - Accent2 5 2 3 3 2" xfId="12446"/>
    <cellStyle name="20% - Accent2 5 2 3 3 2 2" xfId="26158"/>
    <cellStyle name="20% - Accent2 5 2 3 3 3" xfId="18186"/>
    <cellStyle name="20% - Accent2 5 2 3 4" xfId="864"/>
    <cellStyle name="20% - Accent2 5 2 3 4 2" xfId="14717"/>
    <cellStyle name="20% - Accent2 5 2 3 4 2 2" xfId="28266"/>
    <cellStyle name="20% - Accent2 5 2 3 4 3" xfId="18187"/>
    <cellStyle name="20% - Accent2 5 2 3 5" xfId="865"/>
    <cellStyle name="20% - Accent2 5 2 3 5 2" xfId="16587"/>
    <cellStyle name="20% - Accent2 5 2 3 5 2 2" xfId="29994"/>
    <cellStyle name="20% - Accent2 5 2 3 5 3" xfId="18188"/>
    <cellStyle name="20% - Accent2 5 2 3 6" xfId="8941"/>
    <cellStyle name="20% - Accent2 5 2 3 6 2" xfId="23416"/>
    <cellStyle name="20% - Accent2 5 2 3 7" xfId="18184"/>
    <cellStyle name="20% - Accent2 5 2 4" xfId="866"/>
    <cellStyle name="20% - Accent2 5 2 4 2" xfId="867"/>
    <cellStyle name="20% - Accent2 5 2 4 2 2" xfId="14718"/>
    <cellStyle name="20% - Accent2 5 2 4 2 2 2" xfId="28267"/>
    <cellStyle name="20% - Accent2 5 2 4 2 3" xfId="18190"/>
    <cellStyle name="20% - Accent2 5 2 4 3" xfId="10663"/>
    <cellStyle name="20% - Accent2 5 2 4 3 2" xfId="24605"/>
    <cellStyle name="20% - Accent2 5 2 4 4" xfId="18189"/>
    <cellStyle name="20% - Accent2 5 2 5" xfId="868"/>
    <cellStyle name="20% - Accent2 5 2 5 2" xfId="11964"/>
    <cellStyle name="20% - Accent2 5 2 5 2 2" xfId="25679"/>
    <cellStyle name="20% - Accent2 5 2 5 3" xfId="18191"/>
    <cellStyle name="20% - Accent2 5 2 6" xfId="869"/>
    <cellStyle name="20% - Accent2 5 2 6 2" xfId="12503"/>
    <cellStyle name="20% - Accent2 5 2 6 2 2" xfId="26215"/>
    <cellStyle name="20% - Accent2 5 2 6 3" xfId="18192"/>
    <cellStyle name="20% - Accent2 5 2 7" xfId="870"/>
    <cellStyle name="20% - Accent2 5 2 7 2" xfId="13539"/>
    <cellStyle name="20% - Accent2 5 2 7 2 2" xfId="27088"/>
    <cellStyle name="20% - Accent2 5 2 7 3" xfId="18193"/>
    <cellStyle name="20% - Accent2 5 2 8" xfId="871"/>
    <cellStyle name="20% - Accent2 5 2 8 2" xfId="14120"/>
    <cellStyle name="20% - Accent2 5 2 8 2 2" xfId="27669"/>
    <cellStyle name="20% - Accent2 5 2 8 3" xfId="18194"/>
    <cellStyle name="20% - Accent2 5 2 9" xfId="872"/>
    <cellStyle name="20% - Accent2 5 2 9 2" xfId="14713"/>
    <cellStyle name="20% - Accent2 5 2 9 2 2" xfId="28262"/>
    <cellStyle name="20% - Accent2 5 2 9 3" xfId="18195"/>
    <cellStyle name="20% - Accent2 5 3" xfId="873"/>
    <cellStyle name="20% - Accent2 5 3 10" xfId="8942"/>
    <cellStyle name="20% - Accent2 5 3 10 2" xfId="23417"/>
    <cellStyle name="20% - Accent2 5 3 11" xfId="18196"/>
    <cellStyle name="20% - Accent2 5 3 2" xfId="874"/>
    <cellStyle name="20% - Accent2 5 3 2 2" xfId="875"/>
    <cellStyle name="20% - Accent2 5 3 2 2 2" xfId="10668"/>
    <cellStyle name="20% - Accent2 5 3 2 2 2 2" xfId="24610"/>
    <cellStyle name="20% - Accent2 5 3 2 2 3" xfId="18198"/>
    <cellStyle name="20% - Accent2 5 3 2 3" xfId="876"/>
    <cellStyle name="20% - Accent2 5 3 2 3 2" xfId="12546"/>
    <cellStyle name="20% - Accent2 5 3 2 3 2 2" xfId="26258"/>
    <cellStyle name="20% - Accent2 5 3 2 3 3" xfId="18199"/>
    <cellStyle name="20% - Accent2 5 3 2 4" xfId="877"/>
    <cellStyle name="20% - Accent2 5 3 2 4 2" xfId="14720"/>
    <cellStyle name="20% - Accent2 5 3 2 4 2 2" xfId="28269"/>
    <cellStyle name="20% - Accent2 5 3 2 4 3" xfId="18200"/>
    <cellStyle name="20% - Accent2 5 3 2 5" xfId="878"/>
    <cellStyle name="20% - Accent2 5 3 2 5 2" xfId="16730"/>
    <cellStyle name="20% - Accent2 5 3 2 5 2 2" xfId="30137"/>
    <cellStyle name="20% - Accent2 5 3 2 5 3" xfId="18201"/>
    <cellStyle name="20% - Accent2 5 3 2 6" xfId="8943"/>
    <cellStyle name="20% - Accent2 5 3 2 6 2" xfId="23418"/>
    <cellStyle name="20% - Accent2 5 3 2 7" xfId="18197"/>
    <cellStyle name="20% - Accent2 5 3 3" xfId="879"/>
    <cellStyle name="20% - Accent2 5 3 3 2" xfId="880"/>
    <cellStyle name="20% - Accent2 5 3 3 2 2" xfId="14721"/>
    <cellStyle name="20% - Accent2 5 3 3 2 2 2" xfId="28270"/>
    <cellStyle name="20% - Accent2 5 3 3 2 3" xfId="18203"/>
    <cellStyle name="20% - Accent2 5 3 3 3" xfId="10667"/>
    <cellStyle name="20% - Accent2 5 3 3 3 2" xfId="24609"/>
    <cellStyle name="20% - Accent2 5 3 3 4" xfId="18202"/>
    <cellStyle name="20% - Accent2 5 3 4" xfId="881"/>
    <cellStyle name="20% - Accent2 5 3 4 2" xfId="12118"/>
    <cellStyle name="20% - Accent2 5 3 4 2 2" xfId="25830"/>
    <cellStyle name="20% - Accent2 5 3 4 3" xfId="18204"/>
    <cellStyle name="20% - Accent2 5 3 5" xfId="882"/>
    <cellStyle name="20% - Accent2 5 3 5 2" xfId="11752"/>
    <cellStyle name="20% - Accent2 5 3 5 2 2" xfId="25467"/>
    <cellStyle name="20% - Accent2 5 3 5 3" xfId="18205"/>
    <cellStyle name="20% - Accent2 5 3 6" xfId="883"/>
    <cellStyle name="20% - Accent2 5 3 6 2" xfId="13682"/>
    <cellStyle name="20% - Accent2 5 3 6 2 2" xfId="27231"/>
    <cellStyle name="20% - Accent2 5 3 6 3" xfId="18206"/>
    <cellStyle name="20% - Accent2 5 3 7" xfId="884"/>
    <cellStyle name="20% - Accent2 5 3 7 2" xfId="14263"/>
    <cellStyle name="20% - Accent2 5 3 7 2 2" xfId="27812"/>
    <cellStyle name="20% - Accent2 5 3 7 3" xfId="18207"/>
    <cellStyle name="20% - Accent2 5 3 8" xfId="885"/>
    <cellStyle name="20% - Accent2 5 3 8 2" xfId="14719"/>
    <cellStyle name="20% - Accent2 5 3 8 2 2" xfId="28268"/>
    <cellStyle name="20% - Accent2 5 3 8 3" xfId="18208"/>
    <cellStyle name="20% - Accent2 5 3 9" xfId="886"/>
    <cellStyle name="20% - Accent2 5 3 9 2" xfId="16149"/>
    <cellStyle name="20% - Accent2 5 3 9 2 2" xfId="29556"/>
    <cellStyle name="20% - Accent2 5 3 9 3" xfId="18209"/>
    <cellStyle name="20% - Accent2 5 4" xfId="887"/>
    <cellStyle name="20% - Accent2 5 4 2" xfId="888"/>
    <cellStyle name="20% - Accent2 5 4 2 2" xfId="10669"/>
    <cellStyle name="20% - Accent2 5 4 2 2 2" xfId="24611"/>
    <cellStyle name="20% - Accent2 5 4 2 3" xfId="18211"/>
    <cellStyle name="20% - Accent2 5 4 3" xfId="889"/>
    <cellStyle name="20% - Accent2 5 4 3 2" xfId="12567"/>
    <cellStyle name="20% - Accent2 5 4 3 2 2" xfId="26279"/>
    <cellStyle name="20% - Accent2 5 4 3 3" xfId="18212"/>
    <cellStyle name="20% - Accent2 5 4 4" xfId="890"/>
    <cellStyle name="20% - Accent2 5 4 4 2" xfId="14722"/>
    <cellStyle name="20% - Accent2 5 4 4 2 2" xfId="28271"/>
    <cellStyle name="20% - Accent2 5 4 4 3" xfId="18213"/>
    <cellStyle name="20% - Accent2 5 4 5" xfId="891"/>
    <cellStyle name="20% - Accent2 5 4 5 2" xfId="16444"/>
    <cellStyle name="20% - Accent2 5 4 5 2 2" xfId="29851"/>
    <cellStyle name="20% - Accent2 5 4 5 3" xfId="18214"/>
    <cellStyle name="20% - Accent2 5 4 6" xfId="8944"/>
    <cellStyle name="20% - Accent2 5 4 6 2" xfId="23419"/>
    <cellStyle name="20% - Accent2 5 4 7" xfId="18210"/>
    <cellStyle name="20% - Accent2 5 5" xfId="892"/>
    <cellStyle name="20% - Accent2 5 5 2" xfId="893"/>
    <cellStyle name="20% - Accent2 5 5 2 2" xfId="14723"/>
    <cellStyle name="20% - Accent2 5 5 2 2 2" xfId="28272"/>
    <cellStyle name="20% - Accent2 5 5 2 3" xfId="18216"/>
    <cellStyle name="20% - Accent2 5 5 3" xfId="10662"/>
    <cellStyle name="20% - Accent2 5 5 3 2" xfId="24604"/>
    <cellStyle name="20% - Accent2 5 5 4" xfId="18215"/>
    <cellStyle name="20% - Accent2 5 6" xfId="894"/>
    <cellStyle name="20% - Accent2 5 6 2" xfId="11795"/>
    <cellStyle name="20% - Accent2 5 6 2 2" xfId="25510"/>
    <cellStyle name="20% - Accent2 5 6 3" xfId="18217"/>
    <cellStyle name="20% - Accent2 5 7" xfId="895"/>
    <cellStyle name="20% - Accent2 5 7 2" xfId="12412"/>
    <cellStyle name="20% - Accent2 5 7 2 2" xfId="26124"/>
    <cellStyle name="20% - Accent2 5 7 3" xfId="18218"/>
    <cellStyle name="20% - Accent2 5 8" xfId="896"/>
    <cellStyle name="20% - Accent2 5 8 2" xfId="13396"/>
    <cellStyle name="20% - Accent2 5 8 2 2" xfId="26945"/>
    <cellStyle name="20% - Accent2 5 8 3" xfId="18219"/>
    <cellStyle name="20% - Accent2 5 9" xfId="897"/>
    <cellStyle name="20% - Accent2 5 9 2" xfId="13977"/>
    <cellStyle name="20% - Accent2 5 9 2 2" xfId="27526"/>
    <cellStyle name="20% - Accent2 5 9 3" xfId="18220"/>
    <cellStyle name="20% - Accent2 6" xfId="898"/>
    <cellStyle name="20% - Accent2 6 10" xfId="899"/>
    <cellStyle name="20% - Accent2 6 10 2" xfId="14724"/>
    <cellStyle name="20% - Accent2 6 10 2 2" xfId="28273"/>
    <cellStyle name="20% - Accent2 6 10 3" xfId="18222"/>
    <cellStyle name="20% - Accent2 6 11" xfId="900"/>
    <cellStyle name="20% - Accent2 6 11 2" xfId="15969"/>
    <cellStyle name="20% - Accent2 6 11 2 2" xfId="29376"/>
    <cellStyle name="20% - Accent2 6 11 3" xfId="18223"/>
    <cellStyle name="20% - Accent2 6 12" xfId="8945"/>
    <cellStyle name="20% - Accent2 6 12 2" xfId="23420"/>
    <cellStyle name="20% - Accent2 6 13" xfId="18221"/>
    <cellStyle name="20% - Accent2 6 2" xfId="901"/>
    <cellStyle name="20% - Accent2 6 2 10" xfId="902"/>
    <cellStyle name="20% - Accent2 6 2 10 2" xfId="16112"/>
    <cellStyle name="20% - Accent2 6 2 10 2 2" xfId="29519"/>
    <cellStyle name="20% - Accent2 6 2 10 3" xfId="18225"/>
    <cellStyle name="20% - Accent2 6 2 11" xfId="8946"/>
    <cellStyle name="20% - Accent2 6 2 11 2" xfId="23421"/>
    <cellStyle name="20% - Accent2 6 2 12" xfId="18224"/>
    <cellStyle name="20% - Accent2 6 2 2" xfId="903"/>
    <cellStyle name="20% - Accent2 6 2 2 10" xfId="8947"/>
    <cellStyle name="20% - Accent2 6 2 2 10 2" xfId="23422"/>
    <cellStyle name="20% - Accent2 6 2 2 11" xfId="18226"/>
    <cellStyle name="20% - Accent2 6 2 2 2" xfId="904"/>
    <cellStyle name="20% - Accent2 6 2 2 2 2" xfId="905"/>
    <cellStyle name="20% - Accent2 6 2 2 2 2 2" xfId="10673"/>
    <cellStyle name="20% - Accent2 6 2 2 2 2 2 2" xfId="24615"/>
    <cellStyle name="20% - Accent2 6 2 2 2 2 3" xfId="18228"/>
    <cellStyle name="20% - Accent2 6 2 2 2 3" xfId="906"/>
    <cellStyle name="20% - Accent2 6 2 2 2 3 2" xfId="12693"/>
    <cellStyle name="20% - Accent2 6 2 2 2 3 2 2" xfId="26405"/>
    <cellStyle name="20% - Accent2 6 2 2 2 3 3" xfId="18229"/>
    <cellStyle name="20% - Accent2 6 2 2 2 4" xfId="907"/>
    <cellStyle name="20% - Accent2 6 2 2 2 4 2" xfId="14727"/>
    <cellStyle name="20% - Accent2 6 2 2 2 4 2 2" xfId="28276"/>
    <cellStyle name="20% - Accent2 6 2 2 2 4 3" xfId="18230"/>
    <cellStyle name="20% - Accent2 6 2 2 2 5" xfId="908"/>
    <cellStyle name="20% - Accent2 6 2 2 2 5 2" xfId="16982"/>
    <cellStyle name="20% - Accent2 6 2 2 2 5 2 2" xfId="30389"/>
    <cellStyle name="20% - Accent2 6 2 2 2 5 3" xfId="18231"/>
    <cellStyle name="20% - Accent2 6 2 2 2 6" xfId="8948"/>
    <cellStyle name="20% - Accent2 6 2 2 2 6 2" xfId="23423"/>
    <cellStyle name="20% - Accent2 6 2 2 2 7" xfId="18227"/>
    <cellStyle name="20% - Accent2 6 2 2 3" xfId="909"/>
    <cellStyle name="20% - Accent2 6 2 2 3 2" xfId="910"/>
    <cellStyle name="20% - Accent2 6 2 2 3 2 2" xfId="14728"/>
    <cellStyle name="20% - Accent2 6 2 2 3 2 2 2" xfId="28277"/>
    <cellStyle name="20% - Accent2 6 2 2 3 2 3" xfId="18233"/>
    <cellStyle name="20% - Accent2 6 2 2 3 3" xfId="10672"/>
    <cellStyle name="20% - Accent2 6 2 2 3 3 2" xfId="24614"/>
    <cellStyle name="20% - Accent2 6 2 2 3 4" xfId="18232"/>
    <cellStyle name="20% - Accent2 6 2 2 4" xfId="911"/>
    <cellStyle name="20% - Accent2 6 2 2 4 2" xfId="12370"/>
    <cellStyle name="20% - Accent2 6 2 2 4 2 2" xfId="26082"/>
    <cellStyle name="20% - Accent2 6 2 2 4 3" xfId="18234"/>
    <cellStyle name="20% - Accent2 6 2 2 5" xfId="912"/>
    <cellStyle name="20% - Accent2 6 2 2 5 2" xfId="12785"/>
    <cellStyle name="20% - Accent2 6 2 2 5 2 2" xfId="26497"/>
    <cellStyle name="20% - Accent2 6 2 2 5 3" xfId="18235"/>
    <cellStyle name="20% - Accent2 6 2 2 6" xfId="913"/>
    <cellStyle name="20% - Accent2 6 2 2 6 2" xfId="13934"/>
    <cellStyle name="20% - Accent2 6 2 2 6 2 2" xfId="27483"/>
    <cellStyle name="20% - Accent2 6 2 2 6 3" xfId="18236"/>
    <cellStyle name="20% - Accent2 6 2 2 7" xfId="914"/>
    <cellStyle name="20% - Accent2 6 2 2 7 2" xfId="14515"/>
    <cellStyle name="20% - Accent2 6 2 2 7 2 2" xfId="28064"/>
    <cellStyle name="20% - Accent2 6 2 2 7 3" xfId="18237"/>
    <cellStyle name="20% - Accent2 6 2 2 8" xfId="915"/>
    <cellStyle name="20% - Accent2 6 2 2 8 2" xfId="14726"/>
    <cellStyle name="20% - Accent2 6 2 2 8 2 2" xfId="28275"/>
    <cellStyle name="20% - Accent2 6 2 2 8 3" xfId="18238"/>
    <cellStyle name="20% - Accent2 6 2 2 9" xfId="916"/>
    <cellStyle name="20% - Accent2 6 2 2 9 2" xfId="16401"/>
    <cellStyle name="20% - Accent2 6 2 2 9 2 2" xfId="29808"/>
    <cellStyle name="20% - Accent2 6 2 2 9 3" xfId="18239"/>
    <cellStyle name="20% - Accent2 6 2 3" xfId="917"/>
    <cellStyle name="20% - Accent2 6 2 3 2" xfId="918"/>
    <cellStyle name="20% - Accent2 6 2 3 2 2" xfId="10674"/>
    <cellStyle name="20% - Accent2 6 2 3 2 2 2" xfId="24616"/>
    <cellStyle name="20% - Accent2 6 2 3 2 3" xfId="18241"/>
    <cellStyle name="20% - Accent2 6 2 3 3" xfId="919"/>
    <cellStyle name="20% - Accent2 6 2 3 3 2" xfId="11857"/>
    <cellStyle name="20% - Accent2 6 2 3 3 2 2" xfId="25572"/>
    <cellStyle name="20% - Accent2 6 2 3 3 3" xfId="18242"/>
    <cellStyle name="20% - Accent2 6 2 3 4" xfId="920"/>
    <cellStyle name="20% - Accent2 6 2 3 4 2" xfId="14729"/>
    <cellStyle name="20% - Accent2 6 2 3 4 2 2" xfId="28278"/>
    <cellStyle name="20% - Accent2 6 2 3 4 3" xfId="18243"/>
    <cellStyle name="20% - Accent2 6 2 3 5" xfId="921"/>
    <cellStyle name="20% - Accent2 6 2 3 5 2" xfId="16693"/>
    <cellStyle name="20% - Accent2 6 2 3 5 2 2" xfId="30100"/>
    <cellStyle name="20% - Accent2 6 2 3 5 3" xfId="18244"/>
    <cellStyle name="20% - Accent2 6 2 3 6" xfId="8949"/>
    <cellStyle name="20% - Accent2 6 2 3 6 2" xfId="23424"/>
    <cellStyle name="20% - Accent2 6 2 3 7" xfId="18240"/>
    <cellStyle name="20% - Accent2 6 2 4" xfId="922"/>
    <cellStyle name="20% - Accent2 6 2 4 2" xfId="923"/>
    <cellStyle name="20% - Accent2 6 2 4 2 2" xfId="14730"/>
    <cellStyle name="20% - Accent2 6 2 4 2 2 2" xfId="28279"/>
    <cellStyle name="20% - Accent2 6 2 4 2 3" xfId="18246"/>
    <cellStyle name="20% - Accent2 6 2 4 3" xfId="10671"/>
    <cellStyle name="20% - Accent2 6 2 4 3 2" xfId="24613"/>
    <cellStyle name="20% - Accent2 6 2 4 4" xfId="18245"/>
    <cellStyle name="20% - Accent2 6 2 5" xfId="924"/>
    <cellStyle name="20% - Accent2 6 2 5 2" xfId="12070"/>
    <cellStyle name="20% - Accent2 6 2 5 2 2" xfId="25785"/>
    <cellStyle name="20% - Accent2 6 2 5 3" xfId="18247"/>
    <cellStyle name="20% - Accent2 6 2 6" xfId="925"/>
    <cellStyle name="20% - Accent2 6 2 6 2" xfId="12784"/>
    <cellStyle name="20% - Accent2 6 2 6 2 2" xfId="26496"/>
    <cellStyle name="20% - Accent2 6 2 6 3" xfId="18248"/>
    <cellStyle name="20% - Accent2 6 2 7" xfId="926"/>
    <cellStyle name="20% - Accent2 6 2 7 2" xfId="13645"/>
    <cellStyle name="20% - Accent2 6 2 7 2 2" xfId="27194"/>
    <cellStyle name="20% - Accent2 6 2 7 3" xfId="18249"/>
    <cellStyle name="20% - Accent2 6 2 8" xfId="927"/>
    <cellStyle name="20% - Accent2 6 2 8 2" xfId="14226"/>
    <cellStyle name="20% - Accent2 6 2 8 2 2" xfId="27775"/>
    <cellStyle name="20% - Accent2 6 2 8 3" xfId="18250"/>
    <cellStyle name="20% - Accent2 6 2 9" xfId="928"/>
    <cellStyle name="20% - Accent2 6 2 9 2" xfId="14725"/>
    <cellStyle name="20% - Accent2 6 2 9 2 2" xfId="28274"/>
    <cellStyle name="20% - Accent2 6 2 9 3" xfId="18251"/>
    <cellStyle name="20% - Accent2 6 3" xfId="929"/>
    <cellStyle name="20% - Accent2 6 3 10" xfId="8950"/>
    <cellStyle name="20% - Accent2 6 3 10 2" xfId="23425"/>
    <cellStyle name="20% - Accent2 6 3 11" xfId="18252"/>
    <cellStyle name="20% - Accent2 6 3 2" xfId="930"/>
    <cellStyle name="20% - Accent2 6 3 2 2" xfId="931"/>
    <cellStyle name="20% - Accent2 6 3 2 2 2" xfId="10676"/>
    <cellStyle name="20% - Accent2 6 3 2 2 2 2" xfId="24618"/>
    <cellStyle name="20% - Accent2 6 3 2 2 3" xfId="18254"/>
    <cellStyle name="20% - Accent2 6 3 2 3" xfId="932"/>
    <cellStyle name="20% - Accent2 6 3 2 3 2" xfId="12726"/>
    <cellStyle name="20% - Accent2 6 3 2 3 2 2" xfId="26438"/>
    <cellStyle name="20% - Accent2 6 3 2 3 3" xfId="18255"/>
    <cellStyle name="20% - Accent2 6 3 2 4" xfId="933"/>
    <cellStyle name="20% - Accent2 6 3 2 4 2" xfId="14732"/>
    <cellStyle name="20% - Accent2 6 3 2 4 2 2" xfId="28281"/>
    <cellStyle name="20% - Accent2 6 3 2 4 3" xfId="18256"/>
    <cellStyle name="20% - Accent2 6 3 2 5" xfId="934"/>
    <cellStyle name="20% - Accent2 6 3 2 5 2" xfId="16839"/>
    <cellStyle name="20% - Accent2 6 3 2 5 2 2" xfId="30246"/>
    <cellStyle name="20% - Accent2 6 3 2 5 3" xfId="18257"/>
    <cellStyle name="20% - Accent2 6 3 2 6" xfId="8951"/>
    <cellStyle name="20% - Accent2 6 3 2 6 2" xfId="23426"/>
    <cellStyle name="20% - Accent2 6 3 2 7" xfId="18253"/>
    <cellStyle name="20% - Accent2 6 3 3" xfId="935"/>
    <cellStyle name="20% - Accent2 6 3 3 2" xfId="936"/>
    <cellStyle name="20% - Accent2 6 3 3 2 2" xfId="14733"/>
    <cellStyle name="20% - Accent2 6 3 3 2 2 2" xfId="28282"/>
    <cellStyle name="20% - Accent2 6 3 3 2 3" xfId="18259"/>
    <cellStyle name="20% - Accent2 6 3 3 3" xfId="10675"/>
    <cellStyle name="20% - Accent2 6 3 3 3 2" xfId="24617"/>
    <cellStyle name="20% - Accent2 6 3 3 4" xfId="18258"/>
    <cellStyle name="20% - Accent2 6 3 4" xfId="937"/>
    <cellStyle name="20% - Accent2 6 3 4 2" xfId="12227"/>
    <cellStyle name="20% - Accent2 6 3 4 2 2" xfId="25939"/>
    <cellStyle name="20% - Accent2 6 3 4 3" xfId="18260"/>
    <cellStyle name="20% - Accent2 6 3 5" xfId="938"/>
    <cellStyle name="20% - Accent2 6 3 5 2" xfId="12731"/>
    <cellStyle name="20% - Accent2 6 3 5 2 2" xfId="26443"/>
    <cellStyle name="20% - Accent2 6 3 5 3" xfId="18261"/>
    <cellStyle name="20% - Accent2 6 3 6" xfId="939"/>
    <cellStyle name="20% - Accent2 6 3 6 2" xfId="13791"/>
    <cellStyle name="20% - Accent2 6 3 6 2 2" xfId="27340"/>
    <cellStyle name="20% - Accent2 6 3 6 3" xfId="18262"/>
    <cellStyle name="20% - Accent2 6 3 7" xfId="940"/>
    <cellStyle name="20% - Accent2 6 3 7 2" xfId="14372"/>
    <cellStyle name="20% - Accent2 6 3 7 2 2" xfId="27921"/>
    <cellStyle name="20% - Accent2 6 3 7 3" xfId="18263"/>
    <cellStyle name="20% - Accent2 6 3 8" xfId="941"/>
    <cellStyle name="20% - Accent2 6 3 8 2" xfId="14731"/>
    <cellStyle name="20% - Accent2 6 3 8 2 2" xfId="28280"/>
    <cellStyle name="20% - Accent2 6 3 8 3" xfId="18264"/>
    <cellStyle name="20% - Accent2 6 3 9" xfId="942"/>
    <cellStyle name="20% - Accent2 6 3 9 2" xfId="16258"/>
    <cellStyle name="20% - Accent2 6 3 9 2 2" xfId="29665"/>
    <cellStyle name="20% - Accent2 6 3 9 3" xfId="18265"/>
    <cellStyle name="20% - Accent2 6 4" xfId="943"/>
    <cellStyle name="20% - Accent2 6 4 2" xfId="944"/>
    <cellStyle name="20% - Accent2 6 4 2 2" xfId="10677"/>
    <cellStyle name="20% - Accent2 6 4 2 2 2" xfId="24619"/>
    <cellStyle name="20% - Accent2 6 4 2 3" xfId="18267"/>
    <cellStyle name="20% - Accent2 6 4 3" xfId="945"/>
    <cellStyle name="20% - Accent2 6 4 3 2" xfId="12753"/>
    <cellStyle name="20% - Accent2 6 4 3 2 2" xfId="26465"/>
    <cellStyle name="20% - Accent2 6 4 3 3" xfId="18268"/>
    <cellStyle name="20% - Accent2 6 4 4" xfId="946"/>
    <cellStyle name="20% - Accent2 6 4 4 2" xfId="14734"/>
    <cellStyle name="20% - Accent2 6 4 4 2 2" xfId="28283"/>
    <cellStyle name="20% - Accent2 6 4 4 3" xfId="18269"/>
    <cellStyle name="20% - Accent2 6 4 5" xfId="947"/>
    <cellStyle name="20% - Accent2 6 4 5 2" xfId="16550"/>
    <cellStyle name="20% - Accent2 6 4 5 2 2" xfId="29957"/>
    <cellStyle name="20% - Accent2 6 4 5 3" xfId="18270"/>
    <cellStyle name="20% - Accent2 6 4 6" xfId="8952"/>
    <cellStyle name="20% - Accent2 6 4 6 2" xfId="23427"/>
    <cellStyle name="20% - Accent2 6 4 7" xfId="18266"/>
    <cellStyle name="20% - Accent2 6 5" xfId="948"/>
    <cellStyle name="20% - Accent2 6 5 2" xfId="949"/>
    <cellStyle name="20% - Accent2 6 5 2 2" xfId="14735"/>
    <cellStyle name="20% - Accent2 6 5 2 2 2" xfId="28284"/>
    <cellStyle name="20% - Accent2 6 5 2 3" xfId="18272"/>
    <cellStyle name="20% - Accent2 6 5 3" xfId="10670"/>
    <cellStyle name="20% - Accent2 6 5 3 2" xfId="24612"/>
    <cellStyle name="20% - Accent2 6 5 4" xfId="18271"/>
    <cellStyle name="20% - Accent2 6 6" xfId="950"/>
    <cellStyle name="20% - Accent2 6 6 2" xfId="11925"/>
    <cellStyle name="20% - Accent2 6 6 2 2" xfId="25640"/>
    <cellStyle name="20% - Accent2 6 6 3" xfId="18273"/>
    <cellStyle name="20% - Accent2 6 7" xfId="951"/>
    <cellStyle name="20% - Accent2 6 7 2" xfId="12427"/>
    <cellStyle name="20% - Accent2 6 7 2 2" xfId="26139"/>
    <cellStyle name="20% - Accent2 6 7 3" xfId="18274"/>
    <cellStyle name="20% - Accent2 6 8" xfId="952"/>
    <cellStyle name="20% - Accent2 6 8 2" xfId="13502"/>
    <cellStyle name="20% - Accent2 6 8 2 2" xfId="27051"/>
    <cellStyle name="20% - Accent2 6 8 3" xfId="18275"/>
    <cellStyle name="20% - Accent2 6 9" xfId="953"/>
    <cellStyle name="20% - Accent2 6 9 2" xfId="14083"/>
    <cellStyle name="20% - Accent2 6 9 2 2" xfId="27632"/>
    <cellStyle name="20% - Accent2 6 9 3" xfId="18276"/>
    <cellStyle name="20% - Accent2 7" xfId="954"/>
    <cellStyle name="20% - Accent2 7 10" xfId="955"/>
    <cellStyle name="20% - Accent2 7 10 2" xfId="15990"/>
    <cellStyle name="20% - Accent2 7 10 2 2" xfId="29397"/>
    <cellStyle name="20% - Accent2 7 10 3" xfId="18278"/>
    <cellStyle name="20% - Accent2 7 11" xfId="8953"/>
    <cellStyle name="20% - Accent2 7 11 2" xfId="23428"/>
    <cellStyle name="20% - Accent2 7 12" xfId="18277"/>
    <cellStyle name="20% - Accent2 7 2" xfId="956"/>
    <cellStyle name="20% - Accent2 7 2 10" xfId="8954"/>
    <cellStyle name="20% - Accent2 7 2 10 2" xfId="23429"/>
    <cellStyle name="20% - Accent2 7 2 11" xfId="18279"/>
    <cellStyle name="20% - Accent2 7 2 2" xfId="957"/>
    <cellStyle name="20% - Accent2 7 2 2 2" xfId="958"/>
    <cellStyle name="20% - Accent2 7 2 2 2 2" xfId="10680"/>
    <cellStyle name="20% - Accent2 7 2 2 2 2 2" xfId="24622"/>
    <cellStyle name="20% - Accent2 7 2 2 2 3" xfId="18281"/>
    <cellStyle name="20% - Accent2 7 2 2 3" xfId="959"/>
    <cellStyle name="20% - Accent2 7 2 2 3 2" xfId="12483"/>
    <cellStyle name="20% - Accent2 7 2 2 3 2 2" xfId="26195"/>
    <cellStyle name="20% - Accent2 7 2 2 3 3" xfId="18282"/>
    <cellStyle name="20% - Accent2 7 2 2 4" xfId="960"/>
    <cellStyle name="20% - Accent2 7 2 2 4 2" xfId="14738"/>
    <cellStyle name="20% - Accent2 7 2 2 4 2 2" xfId="28287"/>
    <cellStyle name="20% - Accent2 7 2 2 4 3" xfId="18283"/>
    <cellStyle name="20% - Accent2 7 2 2 5" xfId="961"/>
    <cellStyle name="20% - Accent2 7 2 2 5 2" xfId="16860"/>
    <cellStyle name="20% - Accent2 7 2 2 5 2 2" xfId="30267"/>
    <cellStyle name="20% - Accent2 7 2 2 5 3" xfId="18284"/>
    <cellStyle name="20% - Accent2 7 2 2 6" xfId="8955"/>
    <cellStyle name="20% - Accent2 7 2 2 6 2" xfId="23430"/>
    <cellStyle name="20% - Accent2 7 2 2 7" xfId="18280"/>
    <cellStyle name="20% - Accent2 7 2 3" xfId="962"/>
    <cellStyle name="20% - Accent2 7 2 3 2" xfId="963"/>
    <cellStyle name="20% - Accent2 7 2 3 2 2" xfId="14739"/>
    <cellStyle name="20% - Accent2 7 2 3 2 2 2" xfId="28288"/>
    <cellStyle name="20% - Accent2 7 2 3 2 3" xfId="18286"/>
    <cellStyle name="20% - Accent2 7 2 3 3" xfId="10679"/>
    <cellStyle name="20% - Accent2 7 2 3 3 2" xfId="24621"/>
    <cellStyle name="20% - Accent2 7 2 3 4" xfId="18285"/>
    <cellStyle name="20% - Accent2 7 2 4" xfId="964"/>
    <cellStyle name="20% - Accent2 7 2 4 2" xfId="12248"/>
    <cellStyle name="20% - Accent2 7 2 4 2 2" xfId="25960"/>
    <cellStyle name="20% - Accent2 7 2 4 3" xfId="18287"/>
    <cellStyle name="20% - Accent2 7 2 5" xfId="965"/>
    <cellStyle name="20% - Accent2 7 2 5 2" xfId="11844"/>
    <cellStyle name="20% - Accent2 7 2 5 2 2" xfId="25559"/>
    <cellStyle name="20% - Accent2 7 2 5 3" xfId="18288"/>
    <cellStyle name="20% - Accent2 7 2 6" xfId="966"/>
    <cellStyle name="20% - Accent2 7 2 6 2" xfId="13812"/>
    <cellStyle name="20% - Accent2 7 2 6 2 2" xfId="27361"/>
    <cellStyle name="20% - Accent2 7 2 6 3" xfId="18289"/>
    <cellStyle name="20% - Accent2 7 2 7" xfId="967"/>
    <cellStyle name="20% - Accent2 7 2 7 2" xfId="14393"/>
    <cellStyle name="20% - Accent2 7 2 7 2 2" xfId="27942"/>
    <cellStyle name="20% - Accent2 7 2 7 3" xfId="18290"/>
    <cellStyle name="20% - Accent2 7 2 8" xfId="968"/>
    <cellStyle name="20% - Accent2 7 2 8 2" xfId="14737"/>
    <cellStyle name="20% - Accent2 7 2 8 2 2" xfId="28286"/>
    <cellStyle name="20% - Accent2 7 2 8 3" xfId="18291"/>
    <cellStyle name="20% - Accent2 7 2 9" xfId="969"/>
    <cellStyle name="20% - Accent2 7 2 9 2" xfId="16279"/>
    <cellStyle name="20% - Accent2 7 2 9 2 2" xfId="29686"/>
    <cellStyle name="20% - Accent2 7 2 9 3" xfId="18292"/>
    <cellStyle name="20% - Accent2 7 3" xfId="970"/>
    <cellStyle name="20% - Accent2 7 3 2" xfId="971"/>
    <cellStyle name="20% - Accent2 7 3 2 2" xfId="10681"/>
    <cellStyle name="20% - Accent2 7 3 2 2 2" xfId="24623"/>
    <cellStyle name="20% - Accent2 7 3 2 3" xfId="18294"/>
    <cellStyle name="20% - Accent2 7 3 3" xfId="972"/>
    <cellStyle name="20% - Accent2 7 3 3 2" xfId="12604"/>
    <cellStyle name="20% - Accent2 7 3 3 2 2" xfId="26316"/>
    <cellStyle name="20% - Accent2 7 3 3 3" xfId="18295"/>
    <cellStyle name="20% - Accent2 7 3 4" xfId="973"/>
    <cellStyle name="20% - Accent2 7 3 4 2" xfId="14740"/>
    <cellStyle name="20% - Accent2 7 3 4 2 2" xfId="28289"/>
    <cellStyle name="20% - Accent2 7 3 4 3" xfId="18296"/>
    <cellStyle name="20% - Accent2 7 3 5" xfId="974"/>
    <cellStyle name="20% - Accent2 7 3 5 2" xfId="16571"/>
    <cellStyle name="20% - Accent2 7 3 5 2 2" xfId="29978"/>
    <cellStyle name="20% - Accent2 7 3 5 3" xfId="18297"/>
    <cellStyle name="20% - Accent2 7 3 6" xfId="8956"/>
    <cellStyle name="20% - Accent2 7 3 6 2" xfId="23431"/>
    <cellStyle name="20% - Accent2 7 3 7" xfId="18293"/>
    <cellStyle name="20% - Accent2 7 4" xfId="975"/>
    <cellStyle name="20% - Accent2 7 4 2" xfId="976"/>
    <cellStyle name="20% - Accent2 7 4 2 2" xfId="14741"/>
    <cellStyle name="20% - Accent2 7 4 2 2 2" xfId="28290"/>
    <cellStyle name="20% - Accent2 7 4 2 3" xfId="18299"/>
    <cellStyle name="20% - Accent2 7 4 3" xfId="10678"/>
    <cellStyle name="20% - Accent2 7 4 3 2" xfId="24620"/>
    <cellStyle name="20% - Accent2 7 4 4" xfId="18298"/>
    <cellStyle name="20% - Accent2 7 5" xfId="977"/>
    <cellStyle name="20% - Accent2 7 5 2" xfId="11946"/>
    <cellStyle name="20% - Accent2 7 5 2 2" xfId="25661"/>
    <cellStyle name="20% - Accent2 7 5 3" xfId="18300"/>
    <cellStyle name="20% - Accent2 7 6" xfId="978"/>
    <cellStyle name="20% - Accent2 7 6 2" xfId="12586"/>
    <cellStyle name="20% - Accent2 7 6 2 2" xfId="26298"/>
    <cellStyle name="20% - Accent2 7 6 3" xfId="18301"/>
    <cellStyle name="20% - Accent2 7 7" xfId="979"/>
    <cellStyle name="20% - Accent2 7 7 2" xfId="13523"/>
    <cellStyle name="20% - Accent2 7 7 2 2" xfId="27072"/>
    <cellStyle name="20% - Accent2 7 7 3" xfId="18302"/>
    <cellStyle name="20% - Accent2 7 8" xfId="980"/>
    <cellStyle name="20% - Accent2 7 8 2" xfId="14104"/>
    <cellStyle name="20% - Accent2 7 8 2 2" xfId="27653"/>
    <cellStyle name="20% - Accent2 7 8 3" xfId="18303"/>
    <cellStyle name="20% - Accent2 7 9" xfId="981"/>
    <cellStyle name="20% - Accent2 7 9 2" xfId="14736"/>
    <cellStyle name="20% - Accent2 7 9 2 2" xfId="28285"/>
    <cellStyle name="20% - Accent2 7 9 3" xfId="18304"/>
    <cellStyle name="20% - Accent2 8" xfId="982"/>
    <cellStyle name="20% - Accent2 8 10" xfId="8957"/>
    <cellStyle name="20% - Accent2 8 10 2" xfId="23432"/>
    <cellStyle name="20% - Accent2 8 11" xfId="18305"/>
    <cellStyle name="20% - Accent2 8 2" xfId="983"/>
    <cellStyle name="20% - Accent2 8 2 2" xfId="984"/>
    <cellStyle name="20% - Accent2 8 2 2 2" xfId="10683"/>
    <cellStyle name="20% - Accent2 8 2 2 2 2" xfId="24625"/>
    <cellStyle name="20% - Accent2 8 2 2 3" xfId="18307"/>
    <cellStyle name="20% - Accent2 8 2 3" xfId="985"/>
    <cellStyle name="20% - Accent2 8 2 3 2" xfId="12797"/>
    <cellStyle name="20% - Accent2 8 2 3 2 2" xfId="26509"/>
    <cellStyle name="20% - Accent2 8 2 3 3" xfId="18308"/>
    <cellStyle name="20% - Accent2 8 2 4" xfId="986"/>
    <cellStyle name="20% - Accent2 8 2 4 2" xfId="14743"/>
    <cellStyle name="20% - Accent2 8 2 4 2 2" xfId="28292"/>
    <cellStyle name="20% - Accent2 8 2 4 3" xfId="18309"/>
    <cellStyle name="20% - Accent2 8 2 5" xfId="987"/>
    <cellStyle name="20% - Accent2 8 2 5 2" xfId="16713"/>
    <cellStyle name="20% - Accent2 8 2 5 2 2" xfId="30120"/>
    <cellStyle name="20% - Accent2 8 2 5 3" xfId="18310"/>
    <cellStyle name="20% - Accent2 8 2 6" xfId="8958"/>
    <cellStyle name="20% - Accent2 8 2 6 2" xfId="23433"/>
    <cellStyle name="20% - Accent2 8 2 7" xfId="18306"/>
    <cellStyle name="20% - Accent2 8 3" xfId="988"/>
    <cellStyle name="20% - Accent2 8 3 2" xfId="989"/>
    <cellStyle name="20% - Accent2 8 3 2 2" xfId="14744"/>
    <cellStyle name="20% - Accent2 8 3 2 2 2" xfId="28293"/>
    <cellStyle name="20% - Accent2 8 3 2 3" xfId="18312"/>
    <cellStyle name="20% - Accent2 8 3 3" xfId="10682"/>
    <cellStyle name="20% - Accent2 8 3 3 2" xfId="24624"/>
    <cellStyle name="20% - Accent2 8 3 4" xfId="18311"/>
    <cellStyle name="20% - Accent2 8 4" xfId="990"/>
    <cellStyle name="20% - Accent2 8 4 2" xfId="12091"/>
    <cellStyle name="20% - Accent2 8 4 2 2" xfId="25805"/>
    <cellStyle name="20% - Accent2 8 4 3" xfId="18313"/>
    <cellStyle name="20% - Accent2 8 5" xfId="991"/>
    <cellStyle name="20% - Accent2 8 5 2" xfId="12540"/>
    <cellStyle name="20% - Accent2 8 5 2 2" xfId="26252"/>
    <cellStyle name="20% - Accent2 8 5 3" xfId="18314"/>
    <cellStyle name="20% - Accent2 8 6" xfId="992"/>
    <cellStyle name="20% - Accent2 8 6 2" xfId="13665"/>
    <cellStyle name="20% - Accent2 8 6 2 2" xfId="27214"/>
    <cellStyle name="20% - Accent2 8 6 3" xfId="18315"/>
    <cellStyle name="20% - Accent2 8 7" xfId="993"/>
    <cellStyle name="20% - Accent2 8 7 2" xfId="14246"/>
    <cellStyle name="20% - Accent2 8 7 2 2" xfId="27795"/>
    <cellStyle name="20% - Accent2 8 7 3" xfId="18316"/>
    <cellStyle name="20% - Accent2 8 8" xfId="994"/>
    <cellStyle name="20% - Accent2 8 8 2" xfId="14742"/>
    <cellStyle name="20% - Accent2 8 8 2 2" xfId="28291"/>
    <cellStyle name="20% - Accent2 8 8 3" xfId="18317"/>
    <cellStyle name="20% - Accent2 8 9" xfId="995"/>
    <cellStyle name="20% - Accent2 8 9 2" xfId="16132"/>
    <cellStyle name="20% - Accent2 8 9 2 2" xfId="29539"/>
    <cellStyle name="20% - Accent2 8 9 3" xfId="18318"/>
    <cellStyle name="20% - Accent2 9" xfId="996"/>
    <cellStyle name="20% - Accent2 9 2" xfId="997"/>
    <cellStyle name="20% - Accent2 9 2 2" xfId="10684"/>
    <cellStyle name="20% - Accent2 9 2 2 2" xfId="24626"/>
    <cellStyle name="20% - Accent2 9 2 3" xfId="18320"/>
    <cellStyle name="20% - Accent2 9 3" xfId="998"/>
    <cellStyle name="20% - Accent2 9 3 2" xfId="12612"/>
    <cellStyle name="20% - Accent2 9 3 2 2" xfId="26324"/>
    <cellStyle name="20% - Accent2 9 3 3" xfId="18321"/>
    <cellStyle name="20% - Accent2 9 4" xfId="999"/>
    <cellStyle name="20% - Accent2 9 4 2" xfId="14745"/>
    <cellStyle name="20% - Accent2 9 4 2 2" xfId="28294"/>
    <cellStyle name="20% - Accent2 9 4 3" xfId="18322"/>
    <cellStyle name="20% - Accent2 9 5" xfId="1000"/>
    <cellStyle name="20% - Accent2 9 5 2" xfId="17097"/>
    <cellStyle name="20% - Accent2 9 5 2 2" xfId="30456"/>
    <cellStyle name="20% - Accent2 9 5 3" xfId="18323"/>
    <cellStyle name="20% - Accent2 9 6" xfId="8959"/>
    <cellStyle name="20% - Accent2 9 6 2" xfId="23434"/>
    <cellStyle name="20% - Accent2 9 7" xfId="18319"/>
    <cellStyle name="20% - Accent3" xfId="36" builtinId="38" customBuiltin="1"/>
    <cellStyle name="20% - Accent3 10" xfId="1001"/>
    <cellStyle name="20% - Accent3 10 2" xfId="1002"/>
    <cellStyle name="20% - Accent3 10 2 2" xfId="1003"/>
    <cellStyle name="20% - Accent3 10 2 2 2" xfId="12457"/>
    <cellStyle name="20% - Accent3 10 2 2 2 2" xfId="26169"/>
    <cellStyle name="20% - Accent3 10 2 2 3" xfId="18326"/>
    <cellStyle name="20% - Accent3 10 2 3" xfId="1004"/>
    <cellStyle name="20% - Accent3 10 2 3 2" xfId="14748"/>
    <cellStyle name="20% - Accent3 10 2 3 2 2" xfId="28297"/>
    <cellStyle name="20% - Accent3 10 2 3 3" xfId="18327"/>
    <cellStyle name="20% - Accent3 10 2 4" xfId="10686"/>
    <cellStyle name="20% - Accent3 10 2 4 2" xfId="24628"/>
    <cellStyle name="20% - Accent3 10 2 5" xfId="18325"/>
    <cellStyle name="20% - Accent3 10 3" xfId="1005"/>
    <cellStyle name="20% - Accent3 10 3 2" xfId="12666"/>
    <cellStyle name="20% - Accent3 10 3 2 2" xfId="26378"/>
    <cellStyle name="20% - Accent3 10 3 3" xfId="18328"/>
    <cellStyle name="20% - Accent3 10 4" xfId="1006"/>
    <cellStyle name="20% - Accent3 10 4 2" xfId="14747"/>
    <cellStyle name="20% - Accent3 10 4 2 2" xfId="28296"/>
    <cellStyle name="20% - Accent3 10 4 3" xfId="18329"/>
    <cellStyle name="20% - Accent3 10 5" xfId="1007"/>
    <cellStyle name="20% - Accent3 10 5 2" xfId="17187"/>
    <cellStyle name="20% - Accent3 10 5 2 2" xfId="30546"/>
    <cellStyle name="20% - Accent3 10 5 3" xfId="18330"/>
    <cellStyle name="20% - Accent3 10 6" xfId="8961"/>
    <cellStyle name="20% - Accent3 10 6 2" xfId="23436"/>
    <cellStyle name="20% - Accent3 10 7" xfId="18324"/>
    <cellStyle name="20% - Accent3 11" xfId="1008"/>
    <cellStyle name="20% - Accent3 11 2" xfId="1009"/>
    <cellStyle name="20% - Accent3 11 2 2" xfId="10687"/>
    <cellStyle name="20% - Accent3 11 2 2 2" xfId="24629"/>
    <cellStyle name="20% - Accent3 11 2 3" xfId="18332"/>
    <cellStyle name="20% - Accent3 11 3" xfId="1010"/>
    <cellStyle name="20% - Accent3 11 3 2" xfId="12799"/>
    <cellStyle name="20% - Accent3 11 3 2 2" xfId="26511"/>
    <cellStyle name="20% - Accent3 11 3 3" xfId="18333"/>
    <cellStyle name="20% - Accent3 11 4" xfId="1011"/>
    <cellStyle name="20% - Accent3 11 4 2" xfId="14749"/>
    <cellStyle name="20% - Accent3 11 4 2 2" xfId="28298"/>
    <cellStyle name="20% - Accent3 11 4 3" xfId="18334"/>
    <cellStyle name="20% - Accent3 11 5" xfId="1012"/>
    <cellStyle name="20% - Accent3 11 5 2" xfId="17276"/>
    <cellStyle name="20% - Accent3 11 5 2 2" xfId="30635"/>
    <cellStyle name="20% - Accent3 11 5 3" xfId="18335"/>
    <cellStyle name="20% - Accent3 11 6" xfId="8962"/>
    <cellStyle name="20% - Accent3 11 6 2" xfId="23437"/>
    <cellStyle name="20% - Accent3 11 7" xfId="18331"/>
    <cellStyle name="20% - Accent3 12" xfId="1013"/>
    <cellStyle name="20% - Accent3 12 2" xfId="1014"/>
    <cellStyle name="20% - Accent3 12 2 2" xfId="1015"/>
    <cellStyle name="20% - Accent3 12 2 2 2" xfId="10689"/>
    <cellStyle name="20% - Accent3 12 2 2 2 2" xfId="24631"/>
    <cellStyle name="20% - Accent3 12 2 2 3" xfId="18338"/>
    <cellStyle name="20% - Accent3 12 2 3" xfId="1016"/>
    <cellStyle name="20% - Accent3 12 2 3 2" xfId="12628"/>
    <cellStyle name="20% - Accent3 12 2 3 2 2" xfId="26340"/>
    <cellStyle name="20% - Accent3 12 2 3 3" xfId="18339"/>
    <cellStyle name="20% - Accent3 12 2 4" xfId="1017"/>
    <cellStyle name="20% - Accent3 12 2 4 2" xfId="14751"/>
    <cellStyle name="20% - Accent3 12 2 4 2 2" xfId="28300"/>
    <cellStyle name="20% - Accent3 12 2 4 3" xfId="18340"/>
    <cellStyle name="20% - Accent3 12 2 5" xfId="8964"/>
    <cellStyle name="20% - Accent3 12 2 5 2" xfId="23439"/>
    <cellStyle name="20% - Accent3 12 2 6" xfId="18337"/>
    <cellStyle name="20% - Accent3 12 3" xfId="1018"/>
    <cellStyle name="20% - Accent3 12 3 2" xfId="10688"/>
    <cellStyle name="20% - Accent3 12 3 2 2" xfId="24630"/>
    <cellStyle name="20% - Accent3 12 3 3" xfId="18341"/>
    <cellStyle name="20% - Accent3 12 4" xfId="1019"/>
    <cellStyle name="20% - Accent3 12 4 2" xfId="12754"/>
    <cellStyle name="20% - Accent3 12 4 2 2" xfId="26466"/>
    <cellStyle name="20% - Accent3 12 4 3" xfId="18342"/>
    <cellStyle name="20% - Accent3 12 5" xfId="1020"/>
    <cellStyle name="20% - Accent3 12 5 2" xfId="14750"/>
    <cellStyle name="20% - Accent3 12 5 2 2" xfId="28299"/>
    <cellStyle name="20% - Accent3 12 5 3" xfId="18343"/>
    <cellStyle name="20% - Accent3 12 6" xfId="1021"/>
    <cellStyle name="20% - Accent3 12 6 2" xfId="16428"/>
    <cellStyle name="20% - Accent3 12 6 2 2" xfId="29835"/>
    <cellStyle name="20% - Accent3 12 6 3" xfId="18344"/>
    <cellStyle name="20% - Accent3 12 7" xfId="8963"/>
    <cellStyle name="20% - Accent3 12 7 2" xfId="23438"/>
    <cellStyle name="20% - Accent3 12 8" xfId="18336"/>
    <cellStyle name="20% - Accent3 13" xfId="1022"/>
    <cellStyle name="20% - Accent3 13 2" xfId="1023"/>
    <cellStyle name="20% - Accent3 13 2 2" xfId="10690"/>
    <cellStyle name="20% - Accent3 13 2 2 2" xfId="24632"/>
    <cellStyle name="20% - Accent3 13 2 3" xfId="18346"/>
    <cellStyle name="20% - Accent3 13 3" xfId="1024"/>
    <cellStyle name="20% - Accent3 13 3 2" xfId="12786"/>
    <cellStyle name="20% - Accent3 13 3 2 2" xfId="26498"/>
    <cellStyle name="20% - Accent3 13 3 3" xfId="18347"/>
    <cellStyle name="20% - Accent3 13 4" xfId="1025"/>
    <cellStyle name="20% - Accent3 13 4 2" xfId="14752"/>
    <cellStyle name="20% - Accent3 13 4 2 2" xfId="28301"/>
    <cellStyle name="20% - Accent3 13 4 3" xfId="18348"/>
    <cellStyle name="20% - Accent3 13 5" xfId="8965"/>
    <cellStyle name="20% - Accent3 13 5 2" xfId="23440"/>
    <cellStyle name="20% - Accent3 13 6" xfId="18345"/>
    <cellStyle name="20% - Accent3 14" xfId="1026"/>
    <cellStyle name="20% - Accent3 14 2" xfId="1027"/>
    <cellStyle name="20% - Accent3 14 2 2" xfId="10691"/>
    <cellStyle name="20% - Accent3 14 2 2 2" xfId="24633"/>
    <cellStyle name="20% - Accent3 14 2 3" xfId="18350"/>
    <cellStyle name="20% - Accent3 14 3" xfId="1028"/>
    <cellStyle name="20% - Accent3 14 3 2" xfId="12452"/>
    <cellStyle name="20% - Accent3 14 3 2 2" xfId="26164"/>
    <cellStyle name="20% - Accent3 14 3 3" xfId="18351"/>
    <cellStyle name="20% - Accent3 14 4" xfId="1029"/>
    <cellStyle name="20% - Accent3 14 4 2" xfId="14753"/>
    <cellStyle name="20% - Accent3 14 4 2 2" xfId="28302"/>
    <cellStyle name="20% - Accent3 14 4 3" xfId="18352"/>
    <cellStyle name="20% - Accent3 14 5" xfId="8966"/>
    <cellStyle name="20% - Accent3 14 5 2" xfId="23441"/>
    <cellStyle name="20% - Accent3 14 6" xfId="18349"/>
    <cellStyle name="20% - Accent3 15" xfId="1030"/>
    <cellStyle name="20% - Accent3 15 2" xfId="1031"/>
    <cellStyle name="20% - Accent3 15 2 2" xfId="10692"/>
    <cellStyle name="20% - Accent3 15 2 2 2" xfId="24634"/>
    <cellStyle name="20% - Accent3 15 2 3" xfId="18354"/>
    <cellStyle name="20% - Accent3 15 3" xfId="1032"/>
    <cellStyle name="20% - Accent3 15 3 2" xfId="12555"/>
    <cellStyle name="20% - Accent3 15 3 2 2" xfId="26267"/>
    <cellStyle name="20% - Accent3 15 3 3" xfId="18355"/>
    <cellStyle name="20% - Accent3 15 4" xfId="1033"/>
    <cellStyle name="20% - Accent3 15 4 2" xfId="14754"/>
    <cellStyle name="20% - Accent3 15 4 2 2" xfId="28303"/>
    <cellStyle name="20% - Accent3 15 4 3" xfId="18356"/>
    <cellStyle name="20% - Accent3 15 5" xfId="8967"/>
    <cellStyle name="20% - Accent3 15 5 2" xfId="23442"/>
    <cellStyle name="20% - Accent3 15 6" xfId="18353"/>
    <cellStyle name="20% - Accent3 16" xfId="1034"/>
    <cellStyle name="20% - Accent3 16 2" xfId="1035"/>
    <cellStyle name="20% - Accent3 16 2 2" xfId="10693"/>
    <cellStyle name="20% - Accent3 16 2 2 2" xfId="24635"/>
    <cellStyle name="20% - Accent3 16 2 3" xfId="18358"/>
    <cellStyle name="20% - Accent3 16 3" xfId="1036"/>
    <cellStyle name="20% - Accent3 16 3 2" xfId="11778"/>
    <cellStyle name="20% - Accent3 16 3 2 2" xfId="25493"/>
    <cellStyle name="20% - Accent3 16 3 3" xfId="18359"/>
    <cellStyle name="20% - Accent3 16 4" xfId="1037"/>
    <cellStyle name="20% - Accent3 16 4 2" xfId="14755"/>
    <cellStyle name="20% - Accent3 16 4 2 2" xfId="28304"/>
    <cellStyle name="20% - Accent3 16 4 3" xfId="18360"/>
    <cellStyle name="20% - Accent3 16 5" xfId="8968"/>
    <cellStyle name="20% - Accent3 16 5 2" xfId="23443"/>
    <cellStyle name="20% - Accent3 16 6" xfId="18357"/>
    <cellStyle name="20% - Accent3 17" xfId="1038"/>
    <cellStyle name="20% - Accent3 17 2" xfId="1039"/>
    <cellStyle name="20% - Accent3 17 2 2" xfId="10694"/>
    <cellStyle name="20% - Accent3 17 2 2 2" xfId="24636"/>
    <cellStyle name="20% - Accent3 17 2 3" xfId="18362"/>
    <cellStyle name="20% - Accent3 17 3" xfId="1040"/>
    <cellStyle name="20% - Accent3 17 3 2" xfId="12772"/>
    <cellStyle name="20% - Accent3 17 3 2 2" xfId="26484"/>
    <cellStyle name="20% - Accent3 17 3 3" xfId="18363"/>
    <cellStyle name="20% - Accent3 17 4" xfId="1041"/>
    <cellStyle name="20% - Accent3 17 4 2" xfId="14756"/>
    <cellStyle name="20% - Accent3 17 4 2 2" xfId="28305"/>
    <cellStyle name="20% - Accent3 17 4 3" xfId="18364"/>
    <cellStyle name="20% - Accent3 17 5" xfId="8969"/>
    <cellStyle name="20% - Accent3 17 5 2" xfId="23444"/>
    <cellStyle name="20% - Accent3 17 6" xfId="18361"/>
    <cellStyle name="20% - Accent3 18" xfId="1042"/>
    <cellStyle name="20% - Accent3 18 2" xfId="1043"/>
    <cellStyle name="20% - Accent3 18 2 2" xfId="10695"/>
    <cellStyle name="20% - Accent3 18 2 2 2" xfId="24637"/>
    <cellStyle name="20% - Accent3 18 2 3" xfId="18366"/>
    <cellStyle name="20% - Accent3 18 3" xfId="1044"/>
    <cellStyle name="20% - Accent3 18 3 2" xfId="12660"/>
    <cellStyle name="20% - Accent3 18 3 2 2" xfId="26372"/>
    <cellStyle name="20% - Accent3 18 3 3" xfId="18367"/>
    <cellStyle name="20% - Accent3 18 4" xfId="1045"/>
    <cellStyle name="20% - Accent3 18 4 2" xfId="14757"/>
    <cellStyle name="20% - Accent3 18 4 2 2" xfId="28306"/>
    <cellStyle name="20% - Accent3 18 4 3" xfId="18368"/>
    <cellStyle name="20% - Accent3 18 5" xfId="8970"/>
    <cellStyle name="20% - Accent3 18 5 2" xfId="23445"/>
    <cellStyle name="20% - Accent3 18 6" xfId="18365"/>
    <cellStyle name="20% - Accent3 19" xfId="1046"/>
    <cellStyle name="20% - Accent3 19 2" xfId="1047"/>
    <cellStyle name="20% - Accent3 19 2 2" xfId="11712"/>
    <cellStyle name="20% - Accent3 19 2 2 2" xfId="25432"/>
    <cellStyle name="20% - Accent3 19 2 3" xfId="18370"/>
    <cellStyle name="20% - Accent3 19 3" xfId="1048"/>
    <cellStyle name="20% - Accent3 19 3 2" xfId="12402"/>
    <cellStyle name="20% - Accent3 19 3 2 2" xfId="26114"/>
    <cellStyle name="20% - Accent3 19 3 3" xfId="18371"/>
    <cellStyle name="20% - Accent3 19 4" xfId="1049"/>
    <cellStyle name="20% - Accent3 19 4 2" xfId="14758"/>
    <cellStyle name="20% - Accent3 19 4 2 2" xfId="28307"/>
    <cellStyle name="20% - Accent3 19 4 3" xfId="18372"/>
    <cellStyle name="20% - Accent3 19 5" xfId="10464"/>
    <cellStyle name="20% - Accent3 19 5 2" xfId="24423"/>
    <cellStyle name="20% - Accent3 19 6" xfId="18369"/>
    <cellStyle name="20% - Accent3 2" xfId="1050"/>
    <cellStyle name="20% - Accent3 2 10" xfId="1051"/>
    <cellStyle name="20% - Accent3 2 10 2" xfId="1052"/>
    <cellStyle name="20% - Accent3 2 10 2 2" xfId="14760"/>
    <cellStyle name="20% - Accent3 2 10 2 2 2" xfId="28309"/>
    <cellStyle name="20% - Accent3 2 10 2 3" xfId="18375"/>
    <cellStyle name="20% - Accent3 2 10 3" xfId="11840"/>
    <cellStyle name="20% - Accent3 2 10 3 2" xfId="25555"/>
    <cellStyle name="20% - Accent3 2 10 4" xfId="18374"/>
    <cellStyle name="20% - Accent3 2 11" xfId="1053"/>
    <cellStyle name="20% - Accent3 2 11 2" xfId="12453"/>
    <cellStyle name="20% - Accent3 2 11 2 2" xfId="26165"/>
    <cellStyle name="20% - Accent3 2 11 3" xfId="18376"/>
    <cellStyle name="20% - Accent3 2 12" xfId="1054"/>
    <cellStyle name="20% - Accent3 2 12 2" xfId="13439"/>
    <cellStyle name="20% - Accent3 2 12 2 2" xfId="26988"/>
    <cellStyle name="20% - Accent3 2 12 3" xfId="18377"/>
    <cellStyle name="20% - Accent3 2 13" xfId="1055"/>
    <cellStyle name="20% - Accent3 2 13 2" xfId="14020"/>
    <cellStyle name="20% - Accent3 2 13 2 2" xfId="27569"/>
    <cellStyle name="20% - Accent3 2 13 3" xfId="18378"/>
    <cellStyle name="20% - Accent3 2 14" xfId="1056"/>
    <cellStyle name="20% - Accent3 2 14 2" xfId="14759"/>
    <cellStyle name="20% - Accent3 2 14 2 2" xfId="28308"/>
    <cellStyle name="20% - Accent3 2 14 3" xfId="18379"/>
    <cellStyle name="20% - Accent3 2 15" xfId="1057"/>
    <cellStyle name="20% - Accent3 2 15 2" xfId="15906"/>
    <cellStyle name="20% - Accent3 2 15 2 2" xfId="29313"/>
    <cellStyle name="20% - Accent3 2 15 3" xfId="18380"/>
    <cellStyle name="20% - Accent3 2 16" xfId="8971"/>
    <cellStyle name="20% - Accent3 2 16 2" xfId="23446"/>
    <cellStyle name="20% - Accent3 2 17" xfId="18373"/>
    <cellStyle name="20% - Accent3 2 18" xfId="33070"/>
    <cellStyle name="20% - Accent3 2 2" xfId="1058"/>
    <cellStyle name="20% - Accent3 2 2 10" xfId="1059"/>
    <cellStyle name="20% - Accent3 2 2 10 2" xfId="14761"/>
    <cellStyle name="20% - Accent3 2 2 10 2 2" xfId="28310"/>
    <cellStyle name="20% - Accent3 2 2 10 3" xfId="18382"/>
    <cellStyle name="20% - Accent3 2 2 11" xfId="1060"/>
    <cellStyle name="20% - Accent3 2 2 11 2" xfId="15952"/>
    <cellStyle name="20% - Accent3 2 2 11 2 2" xfId="29359"/>
    <cellStyle name="20% - Accent3 2 2 11 3" xfId="18383"/>
    <cellStyle name="20% - Accent3 2 2 12" xfId="8972"/>
    <cellStyle name="20% - Accent3 2 2 12 2" xfId="23447"/>
    <cellStyle name="20% - Accent3 2 2 13" xfId="18381"/>
    <cellStyle name="20% - Accent3 2 2 2" xfId="1061"/>
    <cellStyle name="20% - Accent3 2 2 2 10" xfId="1062"/>
    <cellStyle name="20% - Accent3 2 2 2 10 2" xfId="16095"/>
    <cellStyle name="20% - Accent3 2 2 2 10 2 2" xfId="29502"/>
    <cellStyle name="20% - Accent3 2 2 2 10 3" xfId="18385"/>
    <cellStyle name="20% - Accent3 2 2 2 11" xfId="8973"/>
    <cellStyle name="20% - Accent3 2 2 2 11 2" xfId="23448"/>
    <cellStyle name="20% - Accent3 2 2 2 12" xfId="18384"/>
    <cellStyle name="20% - Accent3 2 2 2 2" xfId="1063"/>
    <cellStyle name="20% - Accent3 2 2 2 2 10" xfId="8974"/>
    <cellStyle name="20% - Accent3 2 2 2 2 10 2" xfId="23449"/>
    <cellStyle name="20% - Accent3 2 2 2 2 11" xfId="18386"/>
    <cellStyle name="20% - Accent3 2 2 2 2 2" xfId="1064"/>
    <cellStyle name="20% - Accent3 2 2 2 2 2 2" xfId="1065"/>
    <cellStyle name="20% - Accent3 2 2 2 2 2 2 2" xfId="10700"/>
    <cellStyle name="20% - Accent3 2 2 2 2 2 2 2 2" xfId="24642"/>
    <cellStyle name="20% - Accent3 2 2 2 2 2 2 3" xfId="18388"/>
    <cellStyle name="20% - Accent3 2 2 2 2 2 3" xfId="1066"/>
    <cellStyle name="20% - Accent3 2 2 2 2 2 3 2" xfId="12673"/>
    <cellStyle name="20% - Accent3 2 2 2 2 2 3 2 2" xfId="26385"/>
    <cellStyle name="20% - Accent3 2 2 2 2 2 3 3" xfId="18389"/>
    <cellStyle name="20% - Accent3 2 2 2 2 2 4" xfId="1067"/>
    <cellStyle name="20% - Accent3 2 2 2 2 2 4 2" xfId="14764"/>
    <cellStyle name="20% - Accent3 2 2 2 2 2 4 2 2" xfId="28313"/>
    <cellStyle name="20% - Accent3 2 2 2 2 2 4 3" xfId="18390"/>
    <cellStyle name="20% - Accent3 2 2 2 2 2 5" xfId="1068"/>
    <cellStyle name="20% - Accent3 2 2 2 2 2 5 2" xfId="16965"/>
    <cellStyle name="20% - Accent3 2 2 2 2 2 5 2 2" xfId="30372"/>
    <cellStyle name="20% - Accent3 2 2 2 2 2 5 3" xfId="18391"/>
    <cellStyle name="20% - Accent3 2 2 2 2 2 6" xfId="8975"/>
    <cellStyle name="20% - Accent3 2 2 2 2 2 6 2" xfId="23450"/>
    <cellStyle name="20% - Accent3 2 2 2 2 2 7" xfId="18387"/>
    <cellStyle name="20% - Accent3 2 2 2 2 3" xfId="1069"/>
    <cellStyle name="20% - Accent3 2 2 2 2 3 2" xfId="1070"/>
    <cellStyle name="20% - Accent3 2 2 2 2 3 2 2" xfId="14765"/>
    <cellStyle name="20% - Accent3 2 2 2 2 3 2 2 2" xfId="28314"/>
    <cellStyle name="20% - Accent3 2 2 2 2 3 2 3" xfId="18393"/>
    <cellStyle name="20% - Accent3 2 2 2 2 3 3" xfId="10699"/>
    <cellStyle name="20% - Accent3 2 2 2 2 3 3 2" xfId="24641"/>
    <cellStyle name="20% - Accent3 2 2 2 2 3 4" xfId="18392"/>
    <cellStyle name="20% - Accent3 2 2 2 2 4" xfId="1071"/>
    <cellStyle name="20% - Accent3 2 2 2 2 4 2" xfId="12353"/>
    <cellStyle name="20% - Accent3 2 2 2 2 4 2 2" xfId="26065"/>
    <cellStyle name="20% - Accent3 2 2 2 2 4 3" xfId="18394"/>
    <cellStyle name="20% - Accent3 2 2 2 2 5" xfId="1072"/>
    <cellStyle name="20% - Accent3 2 2 2 2 5 2" xfId="12441"/>
    <cellStyle name="20% - Accent3 2 2 2 2 5 2 2" xfId="26153"/>
    <cellStyle name="20% - Accent3 2 2 2 2 5 3" xfId="18395"/>
    <cellStyle name="20% - Accent3 2 2 2 2 6" xfId="1073"/>
    <cellStyle name="20% - Accent3 2 2 2 2 6 2" xfId="13917"/>
    <cellStyle name="20% - Accent3 2 2 2 2 6 2 2" xfId="27466"/>
    <cellStyle name="20% - Accent3 2 2 2 2 6 3" xfId="18396"/>
    <cellStyle name="20% - Accent3 2 2 2 2 7" xfId="1074"/>
    <cellStyle name="20% - Accent3 2 2 2 2 7 2" xfId="14498"/>
    <cellStyle name="20% - Accent3 2 2 2 2 7 2 2" xfId="28047"/>
    <cellStyle name="20% - Accent3 2 2 2 2 7 3" xfId="18397"/>
    <cellStyle name="20% - Accent3 2 2 2 2 8" xfId="1075"/>
    <cellStyle name="20% - Accent3 2 2 2 2 8 2" xfId="14763"/>
    <cellStyle name="20% - Accent3 2 2 2 2 8 2 2" xfId="28312"/>
    <cellStyle name="20% - Accent3 2 2 2 2 8 3" xfId="18398"/>
    <cellStyle name="20% - Accent3 2 2 2 2 9" xfId="1076"/>
    <cellStyle name="20% - Accent3 2 2 2 2 9 2" xfId="16384"/>
    <cellStyle name="20% - Accent3 2 2 2 2 9 2 2" xfId="29791"/>
    <cellStyle name="20% - Accent3 2 2 2 2 9 3" xfId="18399"/>
    <cellStyle name="20% - Accent3 2 2 2 3" xfId="1077"/>
    <cellStyle name="20% - Accent3 2 2 2 3 2" xfId="1078"/>
    <cellStyle name="20% - Accent3 2 2 2 3 2 2" xfId="10701"/>
    <cellStyle name="20% - Accent3 2 2 2 3 2 2 2" xfId="24643"/>
    <cellStyle name="20% - Accent3 2 2 2 3 2 3" xfId="18401"/>
    <cellStyle name="20% - Accent3 2 2 2 3 3" xfId="1079"/>
    <cellStyle name="20% - Accent3 2 2 2 3 3 2" xfId="12577"/>
    <cellStyle name="20% - Accent3 2 2 2 3 3 2 2" xfId="26289"/>
    <cellStyle name="20% - Accent3 2 2 2 3 3 3" xfId="18402"/>
    <cellStyle name="20% - Accent3 2 2 2 3 4" xfId="1080"/>
    <cellStyle name="20% - Accent3 2 2 2 3 4 2" xfId="14766"/>
    <cellStyle name="20% - Accent3 2 2 2 3 4 2 2" xfId="28315"/>
    <cellStyle name="20% - Accent3 2 2 2 3 4 3" xfId="18403"/>
    <cellStyle name="20% - Accent3 2 2 2 3 5" xfId="1081"/>
    <cellStyle name="20% - Accent3 2 2 2 3 5 2" xfId="16676"/>
    <cellStyle name="20% - Accent3 2 2 2 3 5 2 2" xfId="30083"/>
    <cellStyle name="20% - Accent3 2 2 2 3 5 3" xfId="18404"/>
    <cellStyle name="20% - Accent3 2 2 2 3 6" xfId="8976"/>
    <cellStyle name="20% - Accent3 2 2 2 3 6 2" xfId="23451"/>
    <cellStyle name="20% - Accent3 2 2 2 3 7" xfId="18400"/>
    <cellStyle name="20% - Accent3 2 2 2 4" xfId="1082"/>
    <cellStyle name="20% - Accent3 2 2 2 4 2" xfId="1083"/>
    <cellStyle name="20% - Accent3 2 2 2 4 2 2" xfId="14767"/>
    <cellStyle name="20% - Accent3 2 2 2 4 2 2 2" xfId="28316"/>
    <cellStyle name="20% - Accent3 2 2 2 4 2 3" xfId="18406"/>
    <cellStyle name="20% - Accent3 2 2 2 4 3" xfId="10698"/>
    <cellStyle name="20% - Accent3 2 2 2 4 3 2" xfId="24640"/>
    <cellStyle name="20% - Accent3 2 2 2 4 4" xfId="18405"/>
    <cellStyle name="20% - Accent3 2 2 2 5" xfId="1084"/>
    <cellStyle name="20% - Accent3 2 2 2 5 2" xfId="12053"/>
    <cellStyle name="20% - Accent3 2 2 2 5 2 2" xfId="25768"/>
    <cellStyle name="20% - Accent3 2 2 2 5 3" xfId="18407"/>
    <cellStyle name="20% - Accent3 2 2 2 6" xfId="1085"/>
    <cellStyle name="20% - Accent3 2 2 2 6 2" xfId="12420"/>
    <cellStyle name="20% - Accent3 2 2 2 6 2 2" xfId="26132"/>
    <cellStyle name="20% - Accent3 2 2 2 6 3" xfId="18408"/>
    <cellStyle name="20% - Accent3 2 2 2 7" xfId="1086"/>
    <cellStyle name="20% - Accent3 2 2 2 7 2" xfId="13628"/>
    <cellStyle name="20% - Accent3 2 2 2 7 2 2" xfId="27177"/>
    <cellStyle name="20% - Accent3 2 2 2 7 3" xfId="18409"/>
    <cellStyle name="20% - Accent3 2 2 2 8" xfId="1087"/>
    <cellStyle name="20% - Accent3 2 2 2 8 2" xfId="14209"/>
    <cellStyle name="20% - Accent3 2 2 2 8 2 2" xfId="27758"/>
    <cellStyle name="20% - Accent3 2 2 2 8 3" xfId="18410"/>
    <cellStyle name="20% - Accent3 2 2 2 9" xfId="1088"/>
    <cellStyle name="20% - Accent3 2 2 2 9 2" xfId="14762"/>
    <cellStyle name="20% - Accent3 2 2 2 9 2 2" xfId="28311"/>
    <cellStyle name="20% - Accent3 2 2 2 9 3" xfId="18411"/>
    <cellStyle name="20% - Accent3 2 2 3" xfId="1089"/>
    <cellStyle name="20% - Accent3 2 2 3 10" xfId="8977"/>
    <cellStyle name="20% - Accent3 2 2 3 10 2" xfId="23452"/>
    <cellStyle name="20% - Accent3 2 2 3 11" xfId="18412"/>
    <cellStyle name="20% - Accent3 2 2 3 2" xfId="1090"/>
    <cellStyle name="20% - Accent3 2 2 3 2 2" xfId="1091"/>
    <cellStyle name="20% - Accent3 2 2 3 2 2 2" xfId="10703"/>
    <cellStyle name="20% - Accent3 2 2 3 2 2 2 2" xfId="24645"/>
    <cellStyle name="20% - Accent3 2 2 3 2 2 3" xfId="18414"/>
    <cellStyle name="20% - Accent3 2 2 3 2 3" xfId="1092"/>
    <cellStyle name="20% - Accent3 2 2 3 2 3 2" xfId="12512"/>
    <cellStyle name="20% - Accent3 2 2 3 2 3 2 2" xfId="26224"/>
    <cellStyle name="20% - Accent3 2 2 3 2 3 3" xfId="18415"/>
    <cellStyle name="20% - Accent3 2 2 3 2 4" xfId="1093"/>
    <cellStyle name="20% - Accent3 2 2 3 2 4 2" xfId="14769"/>
    <cellStyle name="20% - Accent3 2 2 3 2 4 2 2" xfId="28318"/>
    <cellStyle name="20% - Accent3 2 2 3 2 4 3" xfId="18416"/>
    <cellStyle name="20% - Accent3 2 2 3 2 5" xfId="1094"/>
    <cellStyle name="20% - Accent3 2 2 3 2 5 2" xfId="16822"/>
    <cellStyle name="20% - Accent3 2 2 3 2 5 2 2" xfId="30229"/>
    <cellStyle name="20% - Accent3 2 2 3 2 5 3" xfId="18417"/>
    <cellStyle name="20% - Accent3 2 2 3 2 6" xfId="8978"/>
    <cellStyle name="20% - Accent3 2 2 3 2 6 2" xfId="23453"/>
    <cellStyle name="20% - Accent3 2 2 3 2 7" xfId="18413"/>
    <cellStyle name="20% - Accent3 2 2 3 3" xfId="1095"/>
    <cellStyle name="20% - Accent3 2 2 3 3 2" xfId="1096"/>
    <cellStyle name="20% - Accent3 2 2 3 3 2 2" xfId="14770"/>
    <cellStyle name="20% - Accent3 2 2 3 3 2 2 2" xfId="28319"/>
    <cellStyle name="20% - Accent3 2 2 3 3 2 3" xfId="18419"/>
    <cellStyle name="20% - Accent3 2 2 3 3 3" xfId="10702"/>
    <cellStyle name="20% - Accent3 2 2 3 3 3 2" xfId="24644"/>
    <cellStyle name="20% - Accent3 2 2 3 3 4" xfId="18418"/>
    <cellStyle name="20% - Accent3 2 2 3 4" xfId="1097"/>
    <cellStyle name="20% - Accent3 2 2 3 4 2" xfId="12210"/>
    <cellStyle name="20% - Accent3 2 2 3 4 2 2" xfId="25922"/>
    <cellStyle name="20% - Accent3 2 2 3 4 3" xfId="18420"/>
    <cellStyle name="20% - Accent3 2 2 3 5" xfId="1098"/>
    <cellStyle name="20% - Accent3 2 2 3 5 2" xfId="11871"/>
    <cellStyle name="20% - Accent3 2 2 3 5 2 2" xfId="25586"/>
    <cellStyle name="20% - Accent3 2 2 3 5 3" xfId="18421"/>
    <cellStyle name="20% - Accent3 2 2 3 6" xfId="1099"/>
    <cellStyle name="20% - Accent3 2 2 3 6 2" xfId="13774"/>
    <cellStyle name="20% - Accent3 2 2 3 6 2 2" xfId="27323"/>
    <cellStyle name="20% - Accent3 2 2 3 6 3" xfId="18422"/>
    <cellStyle name="20% - Accent3 2 2 3 7" xfId="1100"/>
    <cellStyle name="20% - Accent3 2 2 3 7 2" xfId="14355"/>
    <cellStyle name="20% - Accent3 2 2 3 7 2 2" xfId="27904"/>
    <cellStyle name="20% - Accent3 2 2 3 7 3" xfId="18423"/>
    <cellStyle name="20% - Accent3 2 2 3 8" xfId="1101"/>
    <cellStyle name="20% - Accent3 2 2 3 8 2" xfId="14768"/>
    <cellStyle name="20% - Accent3 2 2 3 8 2 2" xfId="28317"/>
    <cellStyle name="20% - Accent3 2 2 3 8 3" xfId="18424"/>
    <cellStyle name="20% - Accent3 2 2 3 9" xfId="1102"/>
    <cellStyle name="20% - Accent3 2 2 3 9 2" xfId="16241"/>
    <cellStyle name="20% - Accent3 2 2 3 9 2 2" xfId="29648"/>
    <cellStyle name="20% - Accent3 2 2 3 9 3" xfId="18425"/>
    <cellStyle name="20% - Accent3 2 2 4" xfId="1103"/>
    <cellStyle name="20% - Accent3 2 2 4 2" xfId="1104"/>
    <cellStyle name="20% - Accent3 2 2 4 2 2" xfId="10704"/>
    <cellStyle name="20% - Accent3 2 2 4 2 2 2" xfId="24646"/>
    <cellStyle name="20% - Accent3 2 2 4 2 3" xfId="18427"/>
    <cellStyle name="20% - Accent3 2 2 4 3" xfId="1105"/>
    <cellStyle name="20% - Accent3 2 2 4 3 2" xfId="12762"/>
    <cellStyle name="20% - Accent3 2 2 4 3 2 2" xfId="26474"/>
    <cellStyle name="20% - Accent3 2 2 4 3 3" xfId="18428"/>
    <cellStyle name="20% - Accent3 2 2 4 4" xfId="1106"/>
    <cellStyle name="20% - Accent3 2 2 4 4 2" xfId="14771"/>
    <cellStyle name="20% - Accent3 2 2 4 4 2 2" xfId="28320"/>
    <cellStyle name="20% - Accent3 2 2 4 4 3" xfId="18429"/>
    <cellStyle name="20% - Accent3 2 2 4 5" xfId="1107"/>
    <cellStyle name="20% - Accent3 2 2 4 5 2" xfId="17169"/>
    <cellStyle name="20% - Accent3 2 2 4 5 2 2" xfId="30528"/>
    <cellStyle name="20% - Accent3 2 2 4 5 3" xfId="18430"/>
    <cellStyle name="20% - Accent3 2 2 4 6" xfId="8979"/>
    <cellStyle name="20% - Accent3 2 2 4 6 2" xfId="23454"/>
    <cellStyle name="20% - Accent3 2 2 4 7" xfId="18426"/>
    <cellStyle name="20% - Accent3 2 2 5" xfId="1108"/>
    <cellStyle name="20% - Accent3 2 2 5 2" xfId="1109"/>
    <cellStyle name="20% - Accent3 2 2 5 2 2" xfId="14772"/>
    <cellStyle name="20% - Accent3 2 2 5 2 2 2" xfId="28321"/>
    <cellStyle name="20% - Accent3 2 2 5 2 3" xfId="18432"/>
    <cellStyle name="20% - Accent3 2 2 5 3" xfId="1110"/>
    <cellStyle name="20% - Accent3 2 2 5 3 2" xfId="17258"/>
    <cellStyle name="20% - Accent3 2 2 5 3 2 2" xfId="30617"/>
    <cellStyle name="20% - Accent3 2 2 5 3 3" xfId="18433"/>
    <cellStyle name="20% - Accent3 2 2 5 4" xfId="10697"/>
    <cellStyle name="20% - Accent3 2 2 5 4 2" xfId="24639"/>
    <cellStyle name="20% - Accent3 2 2 5 5" xfId="18431"/>
    <cellStyle name="20% - Accent3 2 2 6" xfId="1111"/>
    <cellStyle name="20% - Accent3 2 2 6 2" xfId="1112"/>
    <cellStyle name="20% - Accent3 2 2 6 2 2" xfId="16533"/>
    <cellStyle name="20% - Accent3 2 2 6 2 2 2" xfId="29940"/>
    <cellStyle name="20% - Accent3 2 2 6 2 3" xfId="18435"/>
    <cellStyle name="20% - Accent3 2 2 6 3" xfId="11908"/>
    <cellStyle name="20% - Accent3 2 2 6 3 2" xfId="25623"/>
    <cellStyle name="20% - Accent3 2 2 6 4" xfId="18434"/>
    <cellStyle name="20% - Accent3 2 2 7" xfId="1113"/>
    <cellStyle name="20% - Accent3 2 2 7 2" xfId="12646"/>
    <cellStyle name="20% - Accent3 2 2 7 2 2" xfId="26358"/>
    <cellStyle name="20% - Accent3 2 2 7 3" xfId="18436"/>
    <cellStyle name="20% - Accent3 2 2 8" xfId="1114"/>
    <cellStyle name="20% - Accent3 2 2 8 2" xfId="13485"/>
    <cellStyle name="20% - Accent3 2 2 8 2 2" xfId="27034"/>
    <cellStyle name="20% - Accent3 2 2 8 3" xfId="18437"/>
    <cellStyle name="20% - Accent3 2 2 9" xfId="1115"/>
    <cellStyle name="20% - Accent3 2 2 9 2" xfId="14066"/>
    <cellStyle name="20% - Accent3 2 2 9 2 2" xfId="27615"/>
    <cellStyle name="20% - Accent3 2 2 9 3" xfId="18438"/>
    <cellStyle name="20% - Accent3 2 3" xfId="1116"/>
    <cellStyle name="20% - Accent3 2 3 10" xfId="1117"/>
    <cellStyle name="20% - Accent3 2 3 10 2" xfId="16049"/>
    <cellStyle name="20% - Accent3 2 3 10 2 2" xfId="29456"/>
    <cellStyle name="20% - Accent3 2 3 10 3" xfId="18440"/>
    <cellStyle name="20% - Accent3 2 3 11" xfId="8980"/>
    <cellStyle name="20% - Accent3 2 3 11 2" xfId="23455"/>
    <cellStyle name="20% - Accent3 2 3 12" xfId="18439"/>
    <cellStyle name="20% - Accent3 2 3 2" xfId="1118"/>
    <cellStyle name="20% - Accent3 2 3 2 10" xfId="8981"/>
    <cellStyle name="20% - Accent3 2 3 2 10 2" xfId="23456"/>
    <cellStyle name="20% - Accent3 2 3 2 11" xfId="18441"/>
    <cellStyle name="20% - Accent3 2 3 2 2" xfId="1119"/>
    <cellStyle name="20% - Accent3 2 3 2 2 2" xfId="1120"/>
    <cellStyle name="20% - Accent3 2 3 2 2 2 2" xfId="10707"/>
    <cellStyle name="20% - Accent3 2 3 2 2 2 2 2" xfId="24649"/>
    <cellStyle name="20% - Accent3 2 3 2 2 2 3" xfId="18443"/>
    <cellStyle name="20% - Accent3 2 3 2 2 3" xfId="1121"/>
    <cellStyle name="20% - Accent3 2 3 2 2 3 2" xfId="12671"/>
    <cellStyle name="20% - Accent3 2 3 2 2 3 2 2" xfId="26383"/>
    <cellStyle name="20% - Accent3 2 3 2 2 3 3" xfId="18444"/>
    <cellStyle name="20% - Accent3 2 3 2 2 4" xfId="1122"/>
    <cellStyle name="20% - Accent3 2 3 2 2 4 2" xfId="14775"/>
    <cellStyle name="20% - Accent3 2 3 2 2 4 2 2" xfId="28324"/>
    <cellStyle name="20% - Accent3 2 3 2 2 4 3" xfId="18445"/>
    <cellStyle name="20% - Accent3 2 3 2 2 5" xfId="1123"/>
    <cellStyle name="20% - Accent3 2 3 2 2 5 2" xfId="16919"/>
    <cellStyle name="20% - Accent3 2 3 2 2 5 2 2" xfId="30326"/>
    <cellStyle name="20% - Accent3 2 3 2 2 5 3" xfId="18446"/>
    <cellStyle name="20% - Accent3 2 3 2 2 6" xfId="8982"/>
    <cellStyle name="20% - Accent3 2 3 2 2 6 2" xfId="23457"/>
    <cellStyle name="20% - Accent3 2 3 2 2 7" xfId="18442"/>
    <cellStyle name="20% - Accent3 2 3 2 3" xfId="1124"/>
    <cellStyle name="20% - Accent3 2 3 2 3 2" xfId="1125"/>
    <cellStyle name="20% - Accent3 2 3 2 3 2 2" xfId="14776"/>
    <cellStyle name="20% - Accent3 2 3 2 3 2 2 2" xfId="28325"/>
    <cellStyle name="20% - Accent3 2 3 2 3 2 3" xfId="18448"/>
    <cellStyle name="20% - Accent3 2 3 2 3 3" xfId="10706"/>
    <cellStyle name="20% - Accent3 2 3 2 3 3 2" xfId="24648"/>
    <cellStyle name="20% - Accent3 2 3 2 3 4" xfId="18447"/>
    <cellStyle name="20% - Accent3 2 3 2 4" xfId="1126"/>
    <cellStyle name="20% - Accent3 2 3 2 4 2" xfId="12307"/>
    <cellStyle name="20% - Accent3 2 3 2 4 2 2" xfId="26019"/>
    <cellStyle name="20% - Accent3 2 3 2 4 3" xfId="18449"/>
    <cellStyle name="20% - Accent3 2 3 2 5" xfId="1127"/>
    <cellStyle name="20% - Accent3 2 3 2 5 2" xfId="12449"/>
    <cellStyle name="20% - Accent3 2 3 2 5 2 2" xfId="26161"/>
    <cellStyle name="20% - Accent3 2 3 2 5 3" xfId="18450"/>
    <cellStyle name="20% - Accent3 2 3 2 6" xfId="1128"/>
    <cellStyle name="20% - Accent3 2 3 2 6 2" xfId="13871"/>
    <cellStyle name="20% - Accent3 2 3 2 6 2 2" xfId="27420"/>
    <cellStyle name="20% - Accent3 2 3 2 6 3" xfId="18451"/>
    <cellStyle name="20% - Accent3 2 3 2 7" xfId="1129"/>
    <cellStyle name="20% - Accent3 2 3 2 7 2" xfId="14452"/>
    <cellStyle name="20% - Accent3 2 3 2 7 2 2" xfId="28001"/>
    <cellStyle name="20% - Accent3 2 3 2 7 3" xfId="18452"/>
    <cellStyle name="20% - Accent3 2 3 2 8" xfId="1130"/>
    <cellStyle name="20% - Accent3 2 3 2 8 2" xfId="14774"/>
    <cellStyle name="20% - Accent3 2 3 2 8 2 2" xfId="28323"/>
    <cellStyle name="20% - Accent3 2 3 2 8 3" xfId="18453"/>
    <cellStyle name="20% - Accent3 2 3 2 9" xfId="1131"/>
    <cellStyle name="20% - Accent3 2 3 2 9 2" xfId="16338"/>
    <cellStyle name="20% - Accent3 2 3 2 9 2 2" xfId="29745"/>
    <cellStyle name="20% - Accent3 2 3 2 9 3" xfId="18454"/>
    <cellStyle name="20% - Accent3 2 3 3" xfId="1132"/>
    <cellStyle name="20% - Accent3 2 3 3 2" xfId="1133"/>
    <cellStyle name="20% - Accent3 2 3 3 2 2" xfId="10708"/>
    <cellStyle name="20% - Accent3 2 3 3 2 2 2" xfId="24650"/>
    <cellStyle name="20% - Accent3 2 3 3 2 3" xfId="18456"/>
    <cellStyle name="20% - Accent3 2 3 3 3" xfId="1134"/>
    <cellStyle name="20% - Accent3 2 3 3 3 2" xfId="12672"/>
    <cellStyle name="20% - Accent3 2 3 3 3 2 2" xfId="26384"/>
    <cellStyle name="20% - Accent3 2 3 3 3 3" xfId="18457"/>
    <cellStyle name="20% - Accent3 2 3 3 4" xfId="1135"/>
    <cellStyle name="20% - Accent3 2 3 3 4 2" xfId="14777"/>
    <cellStyle name="20% - Accent3 2 3 3 4 2 2" xfId="28326"/>
    <cellStyle name="20% - Accent3 2 3 3 4 3" xfId="18458"/>
    <cellStyle name="20% - Accent3 2 3 3 5" xfId="1136"/>
    <cellStyle name="20% - Accent3 2 3 3 5 2" xfId="16630"/>
    <cellStyle name="20% - Accent3 2 3 3 5 2 2" xfId="30037"/>
    <cellStyle name="20% - Accent3 2 3 3 5 3" xfId="18459"/>
    <cellStyle name="20% - Accent3 2 3 3 6" xfId="8983"/>
    <cellStyle name="20% - Accent3 2 3 3 6 2" xfId="23458"/>
    <cellStyle name="20% - Accent3 2 3 3 7" xfId="18455"/>
    <cellStyle name="20% - Accent3 2 3 4" xfId="1137"/>
    <cellStyle name="20% - Accent3 2 3 4 2" xfId="1138"/>
    <cellStyle name="20% - Accent3 2 3 4 2 2" xfId="14778"/>
    <cellStyle name="20% - Accent3 2 3 4 2 2 2" xfId="28327"/>
    <cellStyle name="20% - Accent3 2 3 4 2 3" xfId="18461"/>
    <cellStyle name="20% - Accent3 2 3 4 3" xfId="10705"/>
    <cellStyle name="20% - Accent3 2 3 4 3 2" xfId="24647"/>
    <cellStyle name="20% - Accent3 2 3 4 4" xfId="18460"/>
    <cellStyle name="20% - Accent3 2 3 5" xfId="1139"/>
    <cellStyle name="20% - Accent3 2 3 5 2" xfId="12007"/>
    <cellStyle name="20% - Accent3 2 3 5 2 2" xfId="25722"/>
    <cellStyle name="20% - Accent3 2 3 5 3" xfId="18462"/>
    <cellStyle name="20% - Accent3 2 3 6" xfId="1140"/>
    <cellStyle name="20% - Accent3 2 3 6 2" xfId="12787"/>
    <cellStyle name="20% - Accent3 2 3 6 2 2" xfId="26499"/>
    <cellStyle name="20% - Accent3 2 3 6 3" xfId="18463"/>
    <cellStyle name="20% - Accent3 2 3 7" xfId="1141"/>
    <cellStyle name="20% - Accent3 2 3 7 2" xfId="13582"/>
    <cellStyle name="20% - Accent3 2 3 7 2 2" xfId="27131"/>
    <cellStyle name="20% - Accent3 2 3 7 3" xfId="18464"/>
    <cellStyle name="20% - Accent3 2 3 8" xfId="1142"/>
    <cellStyle name="20% - Accent3 2 3 8 2" xfId="14163"/>
    <cellStyle name="20% - Accent3 2 3 8 2 2" xfId="27712"/>
    <cellStyle name="20% - Accent3 2 3 8 3" xfId="18465"/>
    <cellStyle name="20% - Accent3 2 3 9" xfId="1143"/>
    <cellStyle name="20% - Accent3 2 3 9 2" xfId="14773"/>
    <cellStyle name="20% - Accent3 2 3 9 2 2" xfId="28322"/>
    <cellStyle name="20% - Accent3 2 3 9 3" xfId="18466"/>
    <cellStyle name="20% - Accent3 2 4" xfId="1144"/>
    <cellStyle name="20% - Accent3 2 4 10" xfId="8984"/>
    <cellStyle name="20% - Accent3 2 4 10 2" xfId="23459"/>
    <cellStyle name="20% - Accent3 2 4 11" xfId="18467"/>
    <cellStyle name="20% - Accent3 2 4 2" xfId="1145"/>
    <cellStyle name="20% - Accent3 2 4 2 2" xfId="1146"/>
    <cellStyle name="20% - Accent3 2 4 2 2 2" xfId="10710"/>
    <cellStyle name="20% - Accent3 2 4 2 2 2 2" xfId="24652"/>
    <cellStyle name="20% - Accent3 2 4 2 2 3" xfId="18469"/>
    <cellStyle name="20% - Accent3 2 4 2 3" xfId="1147"/>
    <cellStyle name="20% - Accent3 2 4 2 3 2" xfId="12808"/>
    <cellStyle name="20% - Accent3 2 4 2 3 2 2" xfId="26520"/>
    <cellStyle name="20% - Accent3 2 4 2 3 3" xfId="18470"/>
    <cellStyle name="20% - Accent3 2 4 2 4" xfId="1148"/>
    <cellStyle name="20% - Accent3 2 4 2 4 2" xfId="14780"/>
    <cellStyle name="20% - Accent3 2 4 2 4 2 2" xfId="28329"/>
    <cellStyle name="20% - Accent3 2 4 2 4 3" xfId="18471"/>
    <cellStyle name="20% - Accent3 2 4 2 5" xfId="1149"/>
    <cellStyle name="20% - Accent3 2 4 2 5 2" xfId="16776"/>
    <cellStyle name="20% - Accent3 2 4 2 5 2 2" xfId="30183"/>
    <cellStyle name="20% - Accent3 2 4 2 5 3" xfId="18472"/>
    <cellStyle name="20% - Accent3 2 4 2 6" xfId="8985"/>
    <cellStyle name="20% - Accent3 2 4 2 6 2" xfId="23460"/>
    <cellStyle name="20% - Accent3 2 4 2 7" xfId="18468"/>
    <cellStyle name="20% - Accent3 2 4 3" xfId="1150"/>
    <cellStyle name="20% - Accent3 2 4 3 2" xfId="1151"/>
    <cellStyle name="20% - Accent3 2 4 3 2 2" xfId="14781"/>
    <cellStyle name="20% - Accent3 2 4 3 2 2 2" xfId="28330"/>
    <cellStyle name="20% - Accent3 2 4 3 2 3" xfId="18474"/>
    <cellStyle name="20% - Accent3 2 4 3 3" xfId="10709"/>
    <cellStyle name="20% - Accent3 2 4 3 3 2" xfId="24651"/>
    <cellStyle name="20% - Accent3 2 4 3 4" xfId="18473"/>
    <cellStyle name="20% - Accent3 2 4 4" xfId="1152"/>
    <cellStyle name="20% - Accent3 2 4 4 2" xfId="12164"/>
    <cellStyle name="20% - Accent3 2 4 4 2 2" xfId="25876"/>
    <cellStyle name="20% - Accent3 2 4 4 3" xfId="18475"/>
    <cellStyle name="20% - Accent3 2 4 5" xfId="1153"/>
    <cellStyle name="20% - Accent3 2 4 5 2" xfId="12493"/>
    <cellStyle name="20% - Accent3 2 4 5 2 2" xfId="26205"/>
    <cellStyle name="20% - Accent3 2 4 5 3" xfId="18476"/>
    <cellStyle name="20% - Accent3 2 4 6" xfId="1154"/>
    <cellStyle name="20% - Accent3 2 4 6 2" xfId="13728"/>
    <cellStyle name="20% - Accent3 2 4 6 2 2" xfId="27277"/>
    <cellStyle name="20% - Accent3 2 4 6 3" xfId="18477"/>
    <cellStyle name="20% - Accent3 2 4 7" xfId="1155"/>
    <cellStyle name="20% - Accent3 2 4 7 2" xfId="14309"/>
    <cellStyle name="20% - Accent3 2 4 7 2 2" xfId="27858"/>
    <cellStyle name="20% - Accent3 2 4 7 3" xfId="18478"/>
    <cellStyle name="20% - Accent3 2 4 8" xfId="1156"/>
    <cellStyle name="20% - Accent3 2 4 8 2" xfId="14779"/>
    <cellStyle name="20% - Accent3 2 4 8 2 2" xfId="28328"/>
    <cellStyle name="20% - Accent3 2 4 8 3" xfId="18479"/>
    <cellStyle name="20% - Accent3 2 4 9" xfId="1157"/>
    <cellStyle name="20% - Accent3 2 4 9 2" xfId="16195"/>
    <cellStyle name="20% - Accent3 2 4 9 2 2" xfId="29602"/>
    <cellStyle name="20% - Accent3 2 4 9 3" xfId="18480"/>
    <cellStyle name="20% - Accent3 2 5" xfId="1158"/>
    <cellStyle name="20% - Accent3 2 5 2" xfId="1159"/>
    <cellStyle name="20% - Accent3 2 5 2 2" xfId="1160"/>
    <cellStyle name="20% - Accent3 2 5 2 2 2" xfId="10712"/>
    <cellStyle name="20% - Accent3 2 5 2 2 2 2" xfId="24654"/>
    <cellStyle name="20% - Accent3 2 5 2 2 3" xfId="18483"/>
    <cellStyle name="20% - Accent3 2 5 2 3" xfId="1161"/>
    <cellStyle name="20% - Accent3 2 5 2 3 2" xfId="12621"/>
    <cellStyle name="20% - Accent3 2 5 2 3 2 2" xfId="26333"/>
    <cellStyle name="20% - Accent3 2 5 2 3 3" xfId="18484"/>
    <cellStyle name="20% - Accent3 2 5 2 4" xfId="1162"/>
    <cellStyle name="20% - Accent3 2 5 2 4 2" xfId="14783"/>
    <cellStyle name="20% - Accent3 2 5 2 4 2 2" xfId="28332"/>
    <cellStyle name="20% - Accent3 2 5 2 4 3" xfId="18485"/>
    <cellStyle name="20% - Accent3 2 5 2 5" xfId="8987"/>
    <cellStyle name="20% - Accent3 2 5 2 5 2" xfId="23462"/>
    <cellStyle name="20% - Accent3 2 5 2 6" xfId="18482"/>
    <cellStyle name="20% - Accent3 2 5 3" xfId="1163"/>
    <cellStyle name="20% - Accent3 2 5 3 2" xfId="10711"/>
    <cellStyle name="20% - Accent3 2 5 3 2 2" xfId="24653"/>
    <cellStyle name="20% - Accent3 2 5 3 3" xfId="18486"/>
    <cellStyle name="20% - Accent3 2 5 4" xfId="1164"/>
    <cellStyle name="20% - Accent3 2 5 4 2" xfId="12624"/>
    <cellStyle name="20% - Accent3 2 5 4 2 2" xfId="26336"/>
    <cellStyle name="20% - Accent3 2 5 4 3" xfId="18487"/>
    <cellStyle name="20% - Accent3 2 5 5" xfId="1165"/>
    <cellStyle name="20% - Accent3 2 5 5 2" xfId="14782"/>
    <cellStyle name="20% - Accent3 2 5 5 2 2" xfId="28331"/>
    <cellStyle name="20% - Accent3 2 5 5 3" xfId="18488"/>
    <cellStyle name="20% - Accent3 2 5 6" xfId="1166"/>
    <cellStyle name="20% - Accent3 2 5 6 2" xfId="17009"/>
    <cellStyle name="20% - Accent3 2 5 6 2 2" xfId="30416"/>
    <cellStyle name="20% - Accent3 2 5 6 3" xfId="18489"/>
    <cellStyle name="20% - Accent3 2 5 7" xfId="8986"/>
    <cellStyle name="20% - Accent3 2 5 7 2" xfId="23461"/>
    <cellStyle name="20% - Accent3 2 5 8" xfId="18481"/>
    <cellStyle name="20% - Accent3 2 6" xfId="1167"/>
    <cellStyle name="20% - Accent3 2 6 2" xfId="1168"/>
    <cellStyle name="20% - Accent3 2 6 2 2" xfId="10713"/>
    <cellStyle name="20% - Accent3 2 6 2 2 2" xfId="24655"/>
    <cellStyle name="20% - Accent3 2 6 2 3" xfId="18491"/>
    <cellStyle name="20% - Accent3 2 6 3" xfId="1169"/>
    <cellStyle name="20% - Accent3 2 6 3 2" xfId="12640"/>
    <cellStyle name="20% - Accent3 2 6 3 2 2" xfId="26352"/>
    <cellStyle name="20% - Accent3 2 6 3 3" xfId="18492"/>
    <cellStyle name="20% - Accent3 2 6 4" xfId="1170"/>
    <cellStyle name="20% - Accent3 2 6 4 2" xfId="14784"/>
    <cellStyle name="20% - Accent3 2 6 4 2 2" xfId="28333"/>
    <cellStyle name="20% - Accent3 2 6 4 3" xfId="18493"/>
    <cellStyle name="20% - Accent3 2 6 5" xfId="1171"/>
    <cellStyle name="20% - Accent3 2 6 5 2" xfId="17123"/>
    <cellStyle name="20% - Accent3 2 6 5 2 2" xfId="30482"/>
    <cellStyle name="20% - Accent3 2 6 5 3" xfId="18494"/>
    <cellStyle name="20% - Accent3 2 6 6" xfId="8988"/>
    <cellStyle name="20% - Accent3 2 6 6 2" xfId="23463"/>
    <cellStyle name="20% - Accent3 2 6 7" xfId="18490"/>
    <cellStyle name="20% - Accent3 2 7" xfId="1172"/>
    <cellStyle name="20% - Accent3 2 7 2" xfId="1173"/>
    <cellStyle name="20% - Accent3 2 7 2 2" xfId="10714"/>
    <cellStyle name="20% - Accent3 2 7 2 2 2" xfId="24656"/>
    <cellStyle name="20% - Accent3 2 7 2 3" xfId="18496"/>
    <cellStyle name="20% - Accent3 2 7 3" xfId="1174"/>
    <cellStyle name="20% - Accent3 2 7 3 2" xfId="12805"/>
    <cellStyle name="20% - Accent3 2 7 3 2 2" xfId="26517"/>
    <cellStyle name="20% - Accent3 2 7 3 3" xfId="18497"/>
    <cellStyle name="20% - Accent3 2 7 4" xfId="1175"/>
    <cellStyle name="20% - Accent3 2 7 4 2" xfId="14785"/>
    <cellStyle name="20% - Accent3 2 7 4 2 2" xfId="28334"/>
    <cellStyle name="20% - Accent3 2 7 4 3" xfId="18498"/>
    <cellStyle name="20% - Accent3 2 7 5" xfId="1176"/>
    <cellStyle name="20% - Accent3 2 7 5 2" xfId="17212"/>
    <cellStyle name="20% - Accent3 2 7 5 2 2" xfId="30571"/>
    <cellStyle name="20% - Accent3 2 7 5 3" xfId="18499"/>
    <cellStyle name="20% - Accent3 2 7 6" xfId="8989"/>
    <cellStyle name="20% - Accent3 2 7 6 2" xfId="23464"/>
    <cellStyle name="20% - Accent3 2 7 7" xfId="18495"/>
    <cellStyle name="20% - Accent3 2 8" xfId="1177"/>
    <cellStyle name="20% - Accent3 2 8 2" xfId="1178"/>
    <cellStyle name="20% - Accent3 2 8 2 2" xfId="12405"/>
    <cellStyle name="20% - Accent3 2 8 2 2 2" xfId="26117"/>
    <cellStyle name="20% - Accent3 2 8 2 3" xfId="18501"/>
    <cellStyle name="20% - Accent3 2 8 3" xfId="1179"/>
    <cellStyle name="20% - Accent3 2 8 3 2" xfId="14786"/>
    <cellStyle name="20% - Accent3 2 8 3 2 2" xfId="28335"/>
    <cellStyle name="20% - Accent3 2 8 3 3" xfId="18502"/>
    <cellStyle name="20% - Accent3 2 8 4" xfId="1180"/>
    <cellStyle name="20% - Accent3 2 8 4 2" xfId="16487"/>
    <cellStyle name="20% - Accent3 2 8 4 2 2" xfId="29894"/>
    <cellStyle name="20% - Accent3 2 8 4 3" xfId="18503"/>
    <cellStyle name="20% - Accent3 2 8 5" xfId="10530"/>
    <cellStyle name="20% - Accent3 2 8 5 2" xfId="24472"/>
    <cellStyle name="20% - Accent3 2 8 6" xfId="18500"/>
    <cellStyle name="20% - Accent3 2 9" xfId="1181"/>
    <cellStyle name="20% - Accent3 2 9 2" xfId="1182"/>
    <cellStyle name="20% - Accent3 2 9 2 2" xfId="12700"/>
    <cellStyle name="20% - Accent3 2 9 2 2 2" xfId="26412"/>
    <cellStyle name="20% - Accent3 2 9 2 3" xfId="18505"/>
    <cellStyle name="20% - Accent3 2 9 3" xfId="1183"/>
    <cellStyle name="20% - Accent3 2 9 3 2" xfId="14787"/>
    <cellStyle name="20% - Accent3 2 9 3 2 2" xfId="28336"/>
    <cellStyle name="20% - Accent3 2 9 3 3" xfId="18506"/>
    <cellStyle name="20% - Accent3 2 9 4" xfId="10696"/>
    <cellStyle name="20% - Accent3 2 9 4 2" xfId="24638"/>
    <cellStyle name="20% - Accent3 2 9 5" xfId="18504"/>
    <cellStyle name="20% - Accent3 20" xfId="1184"/>
    <cellStyle name="20% - Accent3 20 2" xfId="1185"/>
    <cellStyle name="20% - Accent3 20 2 2" xfId="12415"/>
    <cellStyle name="20% - Accent3 20 2 2 2" xfId="26127"/>
    <cellStyle name="20% - Accent3 20 2 3" xfId="18508"/>
    <cellStyle name="20% - Accent3 20 3" xfId="1186"/>
    <cellStyle name="20% - Accent3 20 3 2" xfId="14788"/>
    <cellStyle name="20% - Accent3 20 3 2 2" xfId="28337"/>
    <cellStyle name="20% - Accent3 20 3 3" xfId="18509"/>
    <cellStyle name="20% - Accent3 20 4" xfId="10505"/>
    <cellStyle name="20% - Accent3 20 4 2" xfId="24453"/>
    <cellStyle name="20% - Accent3 20 5" xfId="18507"/>
    <cellStyle name="20% - Accent3 21" xfId="1187"/>
    <cellStyle name="20% - Accent3 21 2" xfId="1188"/>
    <cellStyle name="20% - Accent3 21 2 2" xfId="12643"/>
    <cellStyle name="20% - Accent3 21 2 2 2" xfId="26355"/>
    <cellStyle name="20% - Accent3 21 2 3" xfId="18511"/>
    <cellStyle name="20% - Accent3 21 3" xfId="1189"/>
    <cellStyle name="20% - Accent3 21 3 2" xfId="14789"/>
    <cellStyle name="20% - Accent3 21 3 2 2" xfId="28338"/>
    <cellStyle name="20% - Accent3 21 3 3" xfId="18512"/>
    <cellStyle name="20% - Accent3 21 4" xfId="10685"/>
    <cellStyle name="20% - Accent3 21 4 2" xfId="24627"/>
    <cellStyle name="20% - Accent3 21 5" xfId="18510"/>
    <cellStyle name="20% - Accent3 22" xfId="1190"/>
    <cellStyle name="20% - Accent3 22 2" xfId="11741"/>
    <cellStyle name="20% - Accent3 22 2 2" xfId="25456"/>
    <cellStyle name="20% - Accent3 22 3" xfId="18513"/>
    <cellStyle name="20% - Accent3 23" xfId="1191"/>
    <cellStyle name="20% - Accent3 23 2" xfId="12800"/>
    <cellStyle name="20% - Accent3 23 2 2" xfId="26512"/>
    <cellStyle name="20% - Accent3 23 3" xfId="18514"/>
    <cellStyle name="20% - Accent3 24" xfId="1192"/>
    <cellStyle name="20% - Accent3 24 2" xfId="13380"/>
    <cellStyle name="20% - Accent3 24 2 2" xfId="26929"/>
    <cellStyle name="20% - Accent3 24 3" xfId="18515"/>
    <cellStyle name="20% - Accent3 25" xfId="1193"/>
    <cellStyle name="20% - Accent3 25 2" xfId="13961"/>
    <cellStyle name="20% - Accent3 25 2 2" xfId="27510"/>
    <cellStyle name="20% - Accent3 25 3" xfId="18516"/>
    <cellStyle name="20% - Accent3 26" xfId="1194"/>
    <cellStyle name="20% - Accent3 26 2" xfId="14746"/>
    <cellStyle name="20% - Accent3 26 2 2" xfId="28295"/>
    <cellStyle name="20% - Accent3 26 3" xfId="18517"/>
    <cellStyle name="20% - Accent3 27" xfId="1195"/>
    <cellStyle name="20% - Accent3 27 2" xfId="15838"/>
    <cellStyle name="20% - Accent3 27 2 2" xfId="29245"/>
    <cellStyle name="20% - Accent3 27 3" xfId="18518"/>
    <cellStyle name="20% - Accent3 28" xfId="1196"/>
    <cellStyle name="20% - Accent3 28 2" xfId="15847"/>
    <cellStyle name="20% - Accent3 28 2 2" xfId="29254"/>
    <cellStyle name="20% - Accent3 28 3" xfId="18519"/>
    <cellStyle name="20% - Accent3 29" xfId="1197"/>
    <cellStyle name="20% - Accent3 29 2" xfId="8960"/>
    <cellStyle name="20% - Accent3 29 2 2" xfId="23435"/>
    <cellStyle name="20% - Accent3 29 3" xfId="18520"/>
    <cellStyle name="20% - Accent3 3" xfId="1198"/>
    <cellStyle name="20% - Accent3 3 10" xfId="1199"/>
    <cellStyle name="20% - Accent3 3 10 2" xfId="14043"/>
    <cellStyle name="20% - Accent3 3 10 2 2" xfId="27592"/>
    <cellStyle name="20% - Accent3 3 10 3" xfId="18522"/>
    <cellStyle name="20% - Accent3 3 11" xfId="1200"/>
    <cellStyle name="20% - Accent3 3 11 2" xfId="14790"/>
    <cellStyle name="20% - Accent3 3 11 2 2" xfId="28339"/>
    <cellStyle name="20% - Accent3 3 11 3" xfId="18523"/>
    <cellStyle name="20% - Accent3 3 12" xfId="1201"/>
    <cellStyle name="20% - Accent3 3 12 2" xfId="15929"/>
    <cellStyle name="20% - Accent3 3 12 2 2" xfId="29336"/>
    <cellStyle name="20% - Accent3 3 12 3" xfId="18524"/>
    <cellStyle name="20% - Accent3 3 13" xfId="8990"/>
    <cellStyle name="20% - Accent3 3 13 2" xfId="23465"/>
    <cellStyle name="20% - Accent3 3 14" xfId="18521"/>
    <cellStyle name="20% - Accent3 3 2" xfId="1202"/>
    <cellStyle name="20% - Accent3 3 2 10" xfId="1203"/>
    <cellStyle name="20% - Accent3 3 2 10 2" xfId="16072"/>
    <cellStyle name="20% - Accent3 3 2 10 2 2" xfId="29479"/>
    <cellStyle name="20% - Accent3 3 2 10 3" xfId="18526"/>
    <cellStyle name="20% - Accent3 3 2 11" xfId="8991"/>
    <cellStyle name="20% - Accent3 3 2 11 2" xfId="23466"/>
    <cellStyle name="20% - Accent3 3 2 12" xfId="18525"/>
    <cellStyle name="20% - Accent3 3 2 2" xfId="1204"/>
    <cellStyle name="20% - Accent3 3 2 2 10" xfId="8992"/>
    <cellStyle name="20% - Accent3 3 2 2 10 2" xfId="23467"/>
    <cellStyle name="20% - Accent3 3 2 2 11" xfId="18527"/>
    <cellStyle name="20% - Accent3 3 2 2 2" xfId="1205"/>
    <cellStyle name="20% - Accent3 3 2 2 2 2" xfId="1206"/>
    <cellStyle name="20% - Accent3 3 2 2 2 2 2" xfId="10718"/>
    <cellStyle name="20% - Accent3 3 2 2 2 2 2 2" xfId="24660"/>
    <cellStyle name="20% - Accent3 3 2 2 2 2 3" xfId="18529"/>
    <cellStyle name="20% - Accent3 3 2 2 2 3" xfId="1207"/>
    <cellStyle name="20% - Accent3 3 2 2 2 3 2" xfId="12527"/>
    <cellStyle name="20% - Accent3 3 2 2 2 3 2 2" xfId="26239"/>
    <cellStyle name="20% - Accent3 3 2 2 2 3 3" xfId="18530"/>
    <cellStyle name="20% - Accent3 3 2 2 2 4" xfId="1208"/>
    <cellStyle name="20% - Accent3 3 2 2 2 4 2" xfId="14793"/>
    <cellStyle name="20% - Accent3 3 2 2 2 4 2 2" xfId="28342"/>
    <cellStyle name="20% - Accent3 3 2 2 2 4 3" xfId="18531"/>
    <cellStyle name="20% - Accent3 3 2 2 2 5" xfId="1209"/>
    <cellStyle name="20% - Accent3 3 2 2 2 5 2" xfId="16942"/>
    <cellStyle name="20% - Accent3 3 2 2 2 5 2 2" xfId="30349"/>
    <cellStyle name="20% - Accent3 3 2 2 2 5 3" xfId="18532"/>
    <cellStyle name="20% - Accent3 3 2 2 2 6" xfId="8993"/>
    <cellStyle name="20% - Accent3 3 2 2 2 6 2" xfId="23468"/>
    <cellStyle name="20% - Accent3 3 2 2 2 7" xfId="18528"/>
    <cellStyle name="20% - Accent3 3 2 2 3" xfId="1210"/>
    <cellStyle name="20% - Accent3 3 2 2 3 2" xfId="1211"/>
    <cellStyle name="20% - Accent3 3 2 2 3 2 2" xfId="14794"/>
    <cellStyle name="20% - Accent3 3 2 2 3 2 2 2" xfId="28343"/>
    <cellStyle name="20% - Accent3 3 2 2 3 2 3" xfId="18534"/>
    <cellStyle name="20% - Accent3 3 2 2 3 3" xfId="10717"/>
    <cellStyle name="20% - Accent3 3 2 2 3 3 2" xfId="24659"/>
    <cellStyle name="20% - Accent3 3 2 2 3 4" xfId="18533"/>
    <cellStyle name="20% - Accent3 3 2 2 4" xfId="1212"/>
    <cellStyle name="20% - Accent3 3 2 2 4 2" xfId="12330"/>
    <cellStyle name="20% - Accent3 3 2 2 4 2 2" xfId="26042"/>
    <cellStyle name="20% - Accent3 3 2 2 4 3" xfId="18535"/>
    <cellStyle name="20% - Accent3 3 2 2 5" xfId="1213"/>
    <cellStyle name="20% - Accent3 3 2 2 5 2" xfId="12692"/>
    <cellStyle name="20% - Accent3 3 2 2 5 2 2" xfId="26404"/>
    <cellStyle name="20% - Accent3 3 2 2 5 3" xfId="18536"/>
    <cellStyle name="20% - Accent3 3 2 2 6" xfId="1214"/>
    <cellStyle name="20% - Accent3 3 2 2 6 2" xfId="13894"/>
    <cellStyle name="20% - Accent3 3 2 2 6 2 2" xfId="27443"/>
    <cellStyle name="20% - Accent3 3 2 2 6 3" xfId="18537"/>
    <cellStyle name="20% - Accent3 3 2 2 7" xfId="1215"/>
    <cellStyle name="20% - Accent3 3 2 2 7 2" xfId="14475"/>
    <cellStyle name="20% - Accent3 3 2 2 7 2 2" xfId="28024"/>
    <cellStyle name="20% - Accent3 3 2 2 7 3" xfId="18538"/>
    <cellStyle name="20% - Accent3 3 2 2 8" xfId="1216"/>
    <cellStyle name="20% - Accent3 3 2 2 8 2" xfId="14792"/>
    <cellStyle name="20% - Accent3 3 2 2 8 2 2" xfId="28341"/>
    <cellStyle name="20% - Accent3 3 2 2 8 3" xfId="18539"/>
    <cellStyle name="20% - Accent3 3 2 2 9" xfId="1217"/>
    <cellStyle name="20% - Accent3 3 2 2 9 2" xfId="16361"/>
    <cellStyle name="20% - Accent3 3 2 2 9 2 2" xfId="29768"/>
    <cellStyle name="20% - Accent3 3 2 2 9 3" xfId="18540"/>
    <cellStyle name="20% - Accent3 3 2 3" xfId="1218"/>
    <cellStyle name="20% - Accent3 3 2 3 2" xfId="1219"/>
    <cellStyle name="20% - Accent3 3 2 3 2 2" xfId="10719"/>
    <cellStyle name="20% - Accent3 3 2 3 2 2 2" xfId="24661"/>
    <cellStyle name="20% - Accent3 3 2 3 2 3" xfId="18542"/>
    <cellStyle name="20% - Accent3 3 2 3 3" xfId="1220"/>
    <cellStyle name="20% - Accent3 3 2 3 3 2" xfId="12561"/>
    <cellStyle name="20% - Accent3 3 2 3 3 2 2" xfId="26273"/>
    <cellStyle name="20% - Accent3 3 2 3 3 3" xfId="18543"/>
    <cellStyle name="20% - Accent3 3 2 3 4" xfId="1221"/>
    <cellStyle name="20% - Accent3 3 2 3 4 2" xfId="14795"/>
    <cellStyle name="20% - Accent3 3 2 3 4 2 2" xfId="28344"/>
    <cellStyle name="20% - Accent3 3 2 3 4 3" xfId="18544"/>
    <cellStyle name="20% - Accent3 3 2 3 5" xfId="1222"/>
    <cellStyle name="20% - Accent3 3 2 3 5 2" xfId="16653"/>
    <cellStyle name="20% - Accent3 3 2 3 5 2 2" xfId="30060"/>
    <cellStyle name="20% - Accent3 3 2 3 5 3" xfId="18545"/>
    <cellStyle name="20% - Accent3 3 2 3 6" xfId="8994"/>
    <cellStyle name="20% - Accent3 3 2 3 6 2" xfId="23469"/>
    <cellStyle name="20% - Accent3 3 2 3 7" xfId="18541"/>
    <cellStyle name="20% - Accent3 3 2 4" xfId="1223"/>
    <cellStyle name="20% - Accent3 3 2 4 2" xfId="1224"/>
    <cellStyle name="20% - Accent3 3 2 4 2 2" xfId="14796"/>
    <cellStyle name="20% - Accent3 3 2 4 2 2 2" xfId="28345"/>
    <cellStyle name="20% - Accent3 3 2 4 2 3" xfId="18547"/>
    <cellStyle name="20% - Accent3 3 2 4 3" xfId="10716"/>
    <cellStyle name="20% - Accent3 3 2 4 3 2" xfId="24658"/>
    <cellStyle name="20% - Accent3 3 2 4 4" xfId="18546"/>
    <cellStyle name="20% - Accent3 3 2 5" xfId="1225"/>
    <cellStyle name="20% - Accent3 3 2 5 2" xfId="12030"/>
    <cellStyle name="20% - Accent3 3 2 5 2 2" xfId="25745"/>
    <cellStyle name="20% - Accent3 3 2 5 3" xfId="18548"/>
    <cellStyle name="20% - Accent3 3 2 6" xfId="1226"/>
    <cellStyle name="20% - Accent3 3 2 6 2" xfId="12471"/>
    <cellStyle name="20% - Accent3 3 2 6 2 2" xfId="26183"/>
    <cellStyle name="20% - Accent3 3 2 6 3" xfId="18549"/>
    <cellStyle name="20% - Accent3 3 2 7" xfId="1227"/>
    <cellStyle name="20% - Accent3 3 2 7 2" xfId="13605"/>
    <cellStyle name="20% - Accent3 3 2 7 2 2" xfId="27154"/>
    <cellStyle name="20% - Accent3 3 2 7 3" xfId="18550"/>
    <cellStyle name="20% - Accent3 3 2 8" xfId="1228"/>
    <cellStyle name="20% - Accent3 3 2 8 2" xfId="14186"/>
    <cellStyle name="20% - Accent3 3 2 8 2 2" xfId="27735"/>
    <cellStyle name="20% - Accent3 3 2 8 3" xfId="18551"/>
    <cellStyle name="20% - Accent3 3 2 9" xfId="1229"/>
    <cellStyle name="20% - Accent3 3 2 9 2" xfId="14791"/>
    <cellStyle name="20% - Accent3 3 2 9 2 2" xfId="28340"/>
    <cellStyle name="20% - Accent3 3 2 9 3" xfId="18552"/>
    <cellStyle name="20% - Accent3 3 3" xfId="1230"/>
    <cellStyle name="20% - Accent3 3 3 10" xfId="8995"/>
    <cellStyle name="20% - Accent3 3 3 10 2" xfId="23470"/>
    <cellStyle name="20% - Accent3 3 3 11" xfId="18553"/>
    <cellStyle name="20% - Accent3 3 3 2" xfId="1231"/>
    <cellStyle name="20% - Accent3 3 3 2 2" xfId="1232"/>
    <cellStyle name="20% - Accent3 3 3 2 2 2" xfId="10721"/>
    <cellStyle name="20% - Accent3 3 3 2 2 2 2" xfId="24663"/>
    <cellStyle name="20% - Accent3 3 3 2 2 3" xfId="18555"/>
    <cellStyle name="20% - Accent3 3 3 2 3" xfId="1233"/>
    <cellStyle name="20% - Accent3 3 3 2 3 2" xfId="12641"/>
    <cellStyle name="20% - Accent3 3 3 2 3 2 2" xfId="26353"/>
    <cellStyle name="20% - Accent3 3 3 2 3 3" xfId="18556"/>
    <cellStyle name="20% - Accent3 3 3 2 4" xfId="1234"/>
    <cellStyle name="20% - Accent3 3 3 2 4 2" xfId="14798"/>
    <cellStyle name="20% - Accent3 3 3 2 4 2 2" xfId="28347"/>
    <cellStyle name="20% - Accent3 3 3 2 4 3" xfId="18557"/>
    <cellStyle name="20% - Accent3 3 3 2 5" xfId="1235"/>
    <cellStyle name="20% - Accent3 3 3 2 5 2" xfId="16799"/>
    <cellStyle name="20% - Accent3 3 3 2 5 2 2" xfId="30206"/>
    <cellStyle name="20% - Accent3 3 3 2 5 3" xfId="18558"/>
    <cellStyle name="20% - Accent3 3 3 2 6" xfId="8996"/>
    <cellStyle name="20% - Accent3 3 3 2 6 2" xfId="23471"/>
    <cellStyle name="20% - Accent3 3 3 2 7" xfId="18554"/>
    <cellStyle name="20% - Accent3 3 3 3" xfId="1236"/>
    <cellStyle name="20% - Accent3 3 3 3 2" xfId="1237"/>
    <cellStyle name="20% - Accent3 3 3 3 2 2" xfId="14799"/>
    <cellStyle name="20% - Accent3 3 3 3 2 2 2" xfId="28348"/>
    <cellStyle name="20% - Accent3 3 3 3 2 3" xfId="18560"/>
    <cellStyle name="20% - Accent3 3 3 3 3" xfId="10720"/>
    <cellStyle name="20% - Accent3 3 3 3 3 2" xfId="24662"/>
    <cellStyle name="20% - Accent3 3 3 3 4" xfId="18559"/>
    <cellStyle name="20% - Accent3 3 3 4" xfId="1238"/>
    <cellStyle name="20% - Accent3 3 3 4 2" xfId="12187"/>
    <cellStyle name="20% - Accent3 3 3 4 2 2" xfId="25899"/>
    <cellStyle name="20% - Accent3 3 3 4 3" xfId="18561"/>
    <cellStyle name="20% - Accent3 3 3 5" xfId="1239"/>
    <cellStyle name="20% - Accent3 3 3 5 2" xfId="12691"/>
    <cellStyle name="20% - Accent3 3 3 5 2 2" xfId="26403"/>
    <cellStyle name="20% - Accent3 3 3 5 3" xfId="18562"/>
    <cellStyle name="20% - Accent3 3 3 6" xfId="1240"/>
    <cellStyle name="20% - Accent3 3 3 6 2" xfId="13751"/>
    <cellStyle name="20% - Accent3 3 3 6 2 2" xfId="27300"/>
    <cellStyle name="20% - Accent3 3 3 6 3" xfId="18563"/>
    <cellStyle name="20% - Accent3 3 3 7" xfId="1241"/>
    <cellStyle name="20% - Accent3 3 3 7 2" xfId="14332"/>
    <cellStyle name="20% - Accent3 3 3 7 2 2" xfId="27881"/>
    <cellStyle name="20% - Accent3 3 3 7 3" xfId="18564"/>
    <cellStyle name="20% - Accent3 3 3 8" xfId="1242"/>
    <cellStyle name="20% - Accent3 3 3 8 2" xfId="14797"/>
    <cellStyle name="20% - Accent3 3 3 8 2 2" xfId="28346"/>
    <cellStyle name="20% - Accent3 3 3 8 3" xfId="18565"/>
    <cellStyle name="20% - Accent3 3 3 9" xfId="1243"/>
    <cellStyle name="20% - Accent3 3 3 9 2" xfId="16218"/>
    <cellStyle name="20% - Accent3 3 3 9 2 2" xfId="29625"/>
    <cellStyle name="20% - Accent3 3 3 9 3" xfId="18566"/>
    <cellStyle name="20% - Accent3 3 4" xfId="1244"/>
    <cellStyle name="20% - Accent3 3 4 2" xfId="1245"/>
    <cellStyle name="20% - Accent3 3 4 2 2" xfId="10722"/>
    <cellStyle name="20% - Accent3 3 4 2 2 2" xfId="24664"/>
    <cellStyle name="20% - Accent3 3 4 2 3" xfId="18568"/>
    <cellStyle name="20% - Accent3 3 4 3" xfId="1246"/>
    <cellStyle name="20% - Accent3 3 4 3 2" xfId="12432"/>
    <cellStyle name="20% - Accent3 3 4 3 2 2" xfId="26144"/>
    <cellStyle name="20% - Accent3 3 4 3 3" xfId="18569"/>
    <cellStyle name="20% - Accent3 3 4 4" xfId="1247"/>
    <cellStyle name="20% - Accent3 3 4 4 2" xfId="14800"/>
    <cellStyle name="20% - Accent3 3 4 4 2 2" xfId="28349"/>
    <cellStyle name="20% - Accent3 3 4 4 3" xfId="18570"/>
    <cellStyle name="20% - Accent3 3 4 5" xfId="1248"/>
    <cellStyle name="20% - Accent3 3 4 5 2" xfId="17146"/>
    <cellStyle name="20% - Accent3 3 4 5 2 2" xfId="30505"/>
    <cellStyle name="20% - Accent3 3 4 5 3" xfId="18571"/>
    <cellStyle name="20% - Accent3 3 4 6" xfId="8997"/>
    <cellStyle name="20% - Accent3 3 4 6 2" xfId="23472"/>
    <cellStyle name="20% - Accent3 3 4 7" xfId="18567"/>
    <cellStyle name="20% - Accent3 3 5" xfId="1249"/>
    <cellStyle name="20% - Accent3 3 5 2" xfId="1250"/>
    <cellStyle name="20% - Accent3 3 5 2 2" xfId="10723"/>
    <cellStyle name="20% - Accent3 3 5 2 2 2" xfId="24665"/>
    <cellStyle name="20% - Accent3 3 5 2 3" xfId="18573"/>
    <cellStyle name="20% - Accent3 3 5 3" xfId="1251"/>
    <cellStyle name="20% - Accent3 3 5 3 2" xfId="12462"/>
    <cellStyle name="20% - Accent3 3 5 3 2 2" xfId="26174"/>
    <cellStyle name="20% - Accent3 3 5 3 3" xfId="18574"/>
    <cellStyle name="20% - Accent3 3 5 4" xfId="1252"/>
    <cellStyle name="20% - Accent3 3 5 4 2" xfId="14801"/>
    <cellStyle name="20% - Accent3 3 5 4 2 2" xfId="28350"/>
    <cellStyle name="20% - Accent3 3 5 4 3" xfId="18575"/>
    <cellStyle name="20% - Accent3 3 5 5" xfId="1253"/>
    <cellStyle name="20% - Accent3 3 5 5 2" xfId="17235"/>
    <cellStyle name="20% - Accent3 3 5 5 2 2" xfId="30594"/>
    <cellStyle name="20% - Accent3 3 5 5 3" xfId="18576"/>
    <cellStyle name="20% - Accent3 3 5 6" xfId="8998"/>
    <cellStyle name="20% - Accent3 3 5 6 2" xfId="23473"/>
    <cellStyle name="20% - Accent3 3 5 7" xfId="18572"/>
    <cellStyle name="20% - Accent3 3 6" xfId="1254"/>
    <cellStyle name="20% - Accent3 3 6 2" xfId="1255"/>
    <cellStyle name="20% - Accent3 3 6 2 2" xfId="14802"/>
    <cellStyle name="20% - Accent3 3 6 2 2 2" xfId="28351"/>
    <cellStyle name="20% - Accent3 3 6 2 3" xfId="18578"/>
    <cellStyle name="20% - Accent3 3 6 3" xfId="1256"/>
    <cellStyle name="20% - Accent3 3 6 3 2" xfId="16510"/>
    <cellStyle name="20% - Accent3 3 6 3 2 2" xfId="29917"/>
    <cellStyle name="20% - Accent3 3 6 3 3" xfId="18579"/>
    <cellStyle name="20% - Accent3 3 6 4" xfId="10715"/>
    <cellStyle name="20% - Accent3 3 6 4 2" xfId="24657"/>
    <cellStyle name="20% - Accent3 3 6 5" xfId="18577"/>
    <cellStyle name="20% - Accent3 3 7" xfId="1257"/>
    <cellStyle name="20% - Accent3 3 7 2" xfId="11882"/>
    <cellStyle name="20% - Accent3 3 7 2 2" xfId="25597"/>
    <cellStyle name="20% - Accent3 3 7 3" xfId="18580"/>
    <cellStyle name="20% - Accent3 3 8" xfId="1258"/>
    <cellStyle name="20% - Accent3 3 8 2" xfId="12688"/>
    <cellStyle name="20% - Accent3 3 8 2 2" xfId="26400"/>
    <cellStyle name="20% - Accent3 3 8 3" xfId="18581"/>
    <cellStyle name="20% - Accent3 3 9" xfId="1259"/>
    <cellStyle name="20% - Accent3 3 9 2" xfId="13462"/>
    <cellStyle name="20% - Accent3 3 9 2 2" xfId="27011"/>
    <cellStyle name="20% - Accent3 3 9 3" xfId="18582"/>
    <cellStyle name="20% - Accent3 30" xfId="23253"/>
    <cellStyle name="20% - Accent3 4" xfId="1260"/>
    <cellStyle name="20% - Accent3 4 10" xfId="1261"/>
    <cellStyle name="20% - Accent3 4 10 2" xfId="14803"/>
    <cellStyle name="20% - Accent3 4 10 2 2" xfId="28352"/>
    <cellStyle name="20% - Accent3 4 10 3" xfId="18584"/>
    <cellStyle name="20% - Accent3 4 11" xfId="1262"/>
    <cellStyle name="20% - Accent3 4 11 2" xfId="15881"/>
    <cellStyle name="20% - Accent3 4 11 2 2" xfId="29288"/>
    <cellStyle name="20% - Accent3 4 11 3" xfId="18585"/>
    <cellStyle name="20% - Accent3 4 12" xfId="8999"/>
    <cellStyle name="20% - Accent3 4 12 2" xfId="23474"/>
    <cellStyle name="20% - Accent3 4 13" xfId="18583"/>
    <cellStyle name="20% - Accent3 4 2" xfId="1263"/>
    <cellStyle name="20% - Accent3 4 2 10" xfId="1264"/>
    <cellStyle name="20% - Accent3 4 2 10 2" xfId="16024"/>
    <cellStyle name="20% - Accent3 4 2 10 2 2" xfId="29431"/>
    <cellStyle name="20% - Accent3 4 2 10 3" xfId="18587"/>
    <cellStyle name="20% - Accent3 4 2 11" xfId="9000"/>
    <cellStyle name="20% - Accent3 4 2 11 2" xfId="23475"/>
    <cellStyle name="20% - Accent3 4 2 12" xfId="18586"/>
    <cellStyle name="20% - Accent3 4 2 2" xfId="1265"/>
    <cellStyle name="20% - Accent3 4 2 2 10" xfId="9001"/>
    <cellStyle name="20% - Accent3 4 2 2 10 2" xfId="23476"/>
    <cellStyle name="20% - Accent3 4 2 2 11" xfId="18588"/>
    <cellStyle name="20% - Accent3 4 2 2 2" xfId="1266"/>
    <cellStyle name="20% - Accent3 4 2 2 2 2" xfId="1267"/>
    <cellStyle name="20% - Accent3 4 2 2 2 2 2" xfId="10727"/>
    <cellStyle name="20% - Accent3 4 2 2 2 2 2 2" xfId="24669"/>
    <cellStyle name="20% - Accent3 4 2 2 2 2 3" xfId="18590"/>
    <cellStyle name="20% - Accent3 4 2 2 2 3" xfId="1268"/>
    <cellStyle name="20% - Accent3 4 2 2 2 3 2" xfId="11755"/>
    <cellStyle name="20% - Accent3 4 2 2 2 3 2 2" xfId="25470"/>
    <cellStyle name="20% - Accent3 4 2 2 2 3 3" xfId="18591"/>
    <cellStyle name="20% - Accent3 4 2 2 2 4" xfId="1269"/>
    <cellStyle name="20% - Accent3 4 2 2 2 4 2" xfId="14806"/>
    <cellStyle name="20% - Accent3 4 2 2 2 4 2 2" xfId="28355"/>
    <cellStyle name="20% - Accent3 4 2 2 2 4 3" xfId="18592"/>
    <cellStyle name="20% - Accent3 4 2 2 2 5" xfId="1270"/>
    <cellStyle name="20% - Accent3 4 2 2 2 5 2" xfId="16894"/>
    <cellStyle name="20% - Accent3 4 2 2 2 5 2 2" xfId="30301"/>
    <cellStyle name="20% - Accent3 4 2 2 2 5 3" xfId="18593"/>
    <cellStyle name="20% - Accent3 4 2 2 2 6" xfId="9002"/>
    <cellStyle name="20% - Accent3 4 2 2 2 6 2" xfId="23477"/>
    <cellStyle name="20% - Accent3 4 2 2 2 7" xfId="18589"/>
    <cellStyle name="20% - Accent3 4 2 2 3" xfId="1271"/>
    <cellStyle name="20% - Accent3 4 2 2 3 2" xfId="1272"/>
    <cellStyle name="20% - Accent3 4 2 2 3 2 2" xfId="14807"/>
    <cellStyle name="20% - Accent3 4 2 2 3 2 2 2" xfId="28356"/>
    <cellStyle name="20% - Accent3 4 2 2 3 2 3" xfId="18595"/>
    <cellStyle name="20% - Accent3 4 2 2 3 3" xfId="10726"/>
    <cellStyle name="20% - Accent3 4 2 2 3 3 2" xfId="24668"/>
    <cellStyle name="20% - Accent3 4 2 2 3 4" xfId="18594"/>
    <cellStyle name="20% - Accent3 4 2 2 4" xfId="1273"/>
    <cellStyle name="20% - Accent3 4 2 2 4 2" xfId="12282"/>
    <cellStyle name="20% - Accent3 4 2 2 4 2 2" xfId="25994"/>
    <cellStyle name="20% - Accent3 4 2 2 4 3" xfId="18596"/>
    <cellStyle name="20% - Accent3 4 2 2 5" xfId="1274"/>
    <cellStyle name="20% - Accent3 4 2 2 5 2" xfId="12627"/>
    <cellStyle name="20% - Accent3 4 2 2 5 2 2" xfId="26339"/>
    <cellStyle name="20% - Accent3 4 2 2 5 3" xfId="18597"/>
    <cellStyle name="20% - Accent3 4 2 2 6" xfId="1275"/>
    <cellStyle name="20% - Accent3 4 2 2 6 2" xfId="13846"/>
    <cellStyle name="20% - Accent3 4 2 2 6 2 2" xfId="27395"/>
    <cellStyle name="20% - Accent3 4 2 2 6 3" xfId="18598"/>
    <cellStyle name="20% - Accent3 4 2 2 7" xfId="1276"/>
    <cellStyle name="20% - Accent3 4 2 2 7 2" xfId="14427"/>
    <cellStyle name="20% - Accent3 4 2 2 7 2 2" xfId="27976"/>
    <cellStyle name="20% - Accent3 4 2 2 7 3" xfId="18599"/>
    <cellStyle name="20% - Accent3 4 2 2 8" xfId="1277"/>
    <cellStyle name="20% - Accent3 4 2 2 8 2" xfId="14805"/>
    <cellStyle name="20% - Accent3 4 2 2 8 2 2" xfId="28354"/>
    <cellStyle name="20% - Accent3 4 2 2 8 3" xfId="18600"/>
    <cellStyle name="20% - Accent3 4 2 2 9" xfId="1278"/>
    <cellStyle name="20% - Accent3 4 2 2 9 2" xfId="16313"/>
    <cellStyle name="20% - Accent3 4 2 2 9 2 2" xfId="29720"/>
    <cellStyle name="20% - Accent3 4 2 2 9 3" xfId="18601"/>
    <cellStyle name="20% - Accent3 4 2 3" xfId="1279"/>
    <cellStyle name="20% - Accent3 4 2 3 2" xfId="1280"/>
    <cellStyle name="20% - Accent3 4 2 3 2 2" xfId="10728"/>
    <cellStyle name="20% - Accent3 4 2 3 2 2 2" xfId="24670"/>
    <cellStyle name="20% - Accent3 4 2 3 2 3" xfId="18603"/>
    <cellStyle name="20% - Accent3 4 2 3 3" xfId="1281"/>
    <cellStyle name="20% - Accent3 4 2 3 3 2" xfId="12506"/>
    <cellStyle name="20% - Accent3 4 2 3 3 2 2" xfId="26218"/>
    <cellStyle name="20% - Accent3 4 2 3 3 3" xfId="18604"/>
    <cellStyle name="20% - Accent3 4 2 3 4" xfId="1282"/>
    <cellStyle name="20% - Accent3 4 2 3 4 2" xfId="14808"/>
    <cellStyle name="20% - Accent3 4 2 3 4 2 2" xfId="28357"/>
    <cellStyle name="20% - Accent3 4 2 3 4 3" xfId="18605"/>
    <cellStyle name="20% - Accent3 4 2 3 5" xfId="1283"/>
    <cellStyle name="20% - Accent3 4 2 3 5 2" xfId="16605"/>
    <cellStyle name="20% - Accent3 4 2 3 5 2 2" xfId="30012"/>
    <cellStyle name="20% - Accent3 4 2 3 5 3" xfId="18606"/>
    <cellStyle name="20% - Accent3 4 2 3 6" xfId="9003"/>
    <cellStyle name="20% - Accent3 4 2 3 6 2" xfId="23478"/>
    <cellStyle name="20% - Accent3 4 2 3 7" xfId="18602"/>
    <cellStyle name="20% - Accent3 4 2 4" xfId="1284"/>
    <cellStyle name="20% - Accent3 4 2 4 2" xfId="1285"/>
    <cellStyle name="20% - Accent3 4 2 4 2 2" xfId="14809"/>
    <cellStyle name="20% - Accent3 4 2 4 2 2 2" xfId="28358"/>
    <cellStyle name="20% - Accent3 4 2 4 2 3" xfId="18608"/>
    <cellStyle name="20% - Accent3 4 2 4 3" xfId="10725"/>
    <cellStyle name="20% - Accent3 4 2 4 3 2" xfId="24667"/>
    <cellStyle name="20% - Accent3 4 2 4 4" xfId="18607"/>
    <cellStyle name="20% - Accent3 4 2 5" xfId="1286"/>
    <cellStyle name="20% - Accent3 4 2 5 2" xfId="11982"/>
    <cellStyle name="20% - Accent3 4 2 5 2 2" xfId="25697"/>
    <cellStyle name="20% - Accent3 4 2 5 3" xfId="18609"/>
    <cellStyle name="20% - Accent3 4 2 6" xfId="1287"/>
    <cellStyle name="20% - Accent3 4 2 6 2" xfId="12736"/>
    <cellStyle name="20% - Accent3 4 2 6 2 2" xfId="26448"/>
    <cellStyle name="20% - Accent3 4 2 6 3" xfId="18610"/>
    <cellStyle name="20% - Accent3 4 2 7" xfId="1288"/>
    <cellStyle name="20% - Accent3 4 2 7 2" xfId="13557"/>
    <cellStyle name="20% - Accent3 4 2 7 2 2" xfId="27106"/>
    <cellStyle name="20% - Accent3 4 2 7 3" xfId="18611"/>
    <cellStyle name="20% - Accent3 4 2 8" xfId="1289"/>
    <cellStyle name="20% - Accent3 4 2 8 2" xfId="14138"/>
    <cellStyle name="20% - Accent3 4 2 8 2 2" xfId="27687"/>
    <cellStyle name="20% - Accent3 4 2 8 3" xfId="18612"/>
    <cellStyle name="20% - Accent3 4 2 9" xfId="1290"/>
    <cellStyle name="20% - Accent3 4 2 9 2" xfId="14804"/>
    <cellStyle name="20% - Accent3 4 2 9 2 2" xfId="28353"/>
    <cellStyle name="20% - Accent3 4 2 9 3" xfId="18613"/>
    <cellStyle name="20% - Accent3 4 3" xfId="1291"/>
    <cellStyle name="20% - Accent3 4 3 10" xfId="9004"/>
    <cellStyle name="20% - Accent3 4 3 10 2" xfId="23479"/>
    <cellStyle name="20% - Accent3 4 3 11" xfId="18614"/>
    <cellStyle name="20% - Accent3 4 3 2" xfId="1292"/>
    <cellStyle name="20% - Accent3 4 3 2 2" xfId="1293"/>
    <cellStyle name="20% - Accent3 4 3 2 2 2" xfId="10730"/>
    <cellStyle name="20% - Accent3 4 3 2 2 2 2" xfId="24672"/>
    <cellStyle name="20% - Accent3 4 3 2 2 3" xfId="18616"/>
    <cellStyle name="20% - Accent3 4 3 2 3" xfId="1294"/>
    <cellStyle name="20% - Accent3 4 3 2 3 2" xfId="12619"/>
    <cellStyle name="20% - Accent3 4 3 2 3 2 2" xfId="26331"/>
    <cellStyle name="20% - Accent3 4 3 2 3 3" xfId="18617"/>
    <cellStyle name="20% - Accent3 4 3 2 4" xfId="1295"/>
    <cellStyle name="20% - Accent3 4 3 2 4 2" xfId="14811"/>
    <cellStyle name="20% - Accent3 4 3 2 4 2 2" xfId="28360"/>
    <cellStyle name="20% - Accent3 4 3 2 4 3" xfId="18618"/>
    <cellStyle name="20% - Accent3 4 3 2 5" xfId="1296"/>
    <cellStyle name="20% - Accent3 4 3 2 5 2" xfId="16754"/>
    <cellStyle name="20% - Accent3 4 3 2 5 2 2" xfId="30161"/>
    <cellStyle name="20% - Accent3 4 3 2 5 3" xfId="18619"/>
    <cellStyle name="20% - Accent3 4 3 2 6" xfId="9005"/>
    <cellStyle name="20% - Accent3 4 3 2 6 2" xfId="23480"/>
    <cellStyle name="20% - Accent3 4 3 2 7" xfId="18615"/>
    <cellStyle name="20% - Accent3 4 3 3" xfId="1297"/>
    <cellStyle name="20% - Accent3 4 3 3 2" xfId="1298"/>
    <cellStyle name="20% - Accent3 4 3 3 2 2" xfId="14812"/>
    <cellStyle name="20% - Accent3 4 3 3 2 2 2" xfId="28361"/>
    <cellStyle name="20% - Accent3 4 3 3 2 3" xfId="18621"/>
    <cellStyle name="20% - Accent3 4 3 3 3" xfId="10729"/>
    <cellStyle name="20% - Accent3 4 3 3 3 2" xfId="24671"/>
    <cellStyle name="20% - Accent3 4 3 3 4" xfId="18620"/>
    <cellStyle name="20% - Accent3 4 3 4" xfId="1299"/>
    <cellStyle name="20% - Accent3 4 3 4 2" xfId="12142"/>
    <cellStyle name="20% - Accent3 4 3 4 2 2" xfId="25854"/>
    <cellStyle name="20% - Accent3 4 3 4 3" xfId="18622"/>
    <cellStyle name="20% - Accent3 4 3 5" xfId="1300"/>
    <cellStyle name="20% - Accent3 4 3 5 2" xfId="12723"/>
    <cellStyle name="20% - Accent3 4 3 5 2 2" xfId="26435"/>
    <cellStyle name="20% - Accent3 4 3 5 3" xfId="18623"/>
    <cellStyle name="20% - Accent3 4 3 6" xfId="1301"/>
    <cellStyle name="20% - Accent3 4 3 6 2" xfId="13706"/>
    <cellStyle name="20% - Accent3 4 3 6 2 2" xfId="27255"/>
    <cellStyle name="20% - Accent3 4 3 6 3" xfId="18624"/>
    <cellStyle name="20% - Accent3 4 3 7" xfId="1302"/>
    <cellStyle name="20% - Accent3 4 3 7 2" xfId="14287"/>
    <cellStyle name="20% - Accent3 4 3 7 2 2" xfId="27836"/>
    <cellStyle name="20% - Accent3 4 3 7 3" xfId="18625"/>
    <cellStyle name="20% - Accent3 4 3 8" xfId="1303"/>
    <cellStyle name="20% - Accent3 4 3 8 2" xfId="14810"/>
    <cellStyle name="20% - Accent3 4 3 8 2 2" xfId="28359"/>
    <cellStyle name="20% - Accent3 4 3 8 3" xfId="18626"/>
    <cellStyle name="20% - Accent3 4 3 9" xfId="1304"/>
    <cellStyle name="20% - Accent3 4 3 9 2" xfId="16173"/>
    <cellStyle name="20% - Accent3 4 3 9 2 2" xfId="29580"/>
    <cellStyle name="20% - Accent3 4 3 9 3" xfId="18627"/>
    <cellStyle name="20% - Accent3 4 4" xfId="1305"/>
    <cellStyle name="20% - Accent3 4 4 2" xfId="1306"/>
    <cellStyle name="20% - Accent3 4 4 2 2" xfId="10731"/>
    <cellStyle name="20% - Accent3 4 4 2 2 2" xfId="24673"/>
    <cellStyle name="20% - Accent3 4 4 2 3" xfId="18629"/>
    <cellStyle name="20% - Accent3 4 4 3" xfId="1307"/>
    <cellStyle name="20% - Accent3 4 4 3 2" xfId="12479"/>
    <cellStyle name="20% - Accent3 4 4 3 2 2" xfId="26191"/>
    <cellStyle name="20% - Accent3 4 4 3 3" xfId="18630"/>
    <cellStyle name="20% - Accent3 4 4 4" xfId="1308"/>
    <cellStyle name="20% - Accent3 4 4 4 2" xfId="14813"/>
    <cellStyle name="20% - Accent3 4 4 4 2 2" xfId="28362"/>
    <cellStyle name="20% - Accent3 4 4 4 3" xfId="18631"/>
    <cellStyle name="20% - Accent3 4 4 5" xfId="1309"/>
    <cellStyle name="20% - Accent3 4 4 5 2" xfId="16462"/>
    <cellStyle name="20% - Accent3 4 4 5 2 2" xfId="29869"/>
    <cellStyle name="20% - Accent3 4 4 5 3" xfId="18632"/>
    <cellStyle name="20% - Accent3 4 4 6" xfId="9006"/>
    <cellStyle name="20% - Accent3 4 4 6 2" xfId="23481"/>
    <cellStyle name="20% - Accent3 4 4 7" xfId="18628"/>
    <cellStyle name="20% - Accent3 4 5" xfId="1310"/>
    <cellStyle name="20% - Accent3 4 5 2" xfId="1311"/>
    <cellStyle name="20% - Accent3 4 5 2 2" xfId="14814"/>
    <cellStyle name="20% - Accent3 4 5 2 2 2" xfId="28363"/>
    <cellStyle name="20% - Accent3 4 5 2 3" xfId="18634"/>
    <cellStyle name="20% - Accent3 4 5 3" xfId="10724"/>
    <cellStyle name="20% - Accent3 4 5 3 2" xfId="24666"/>
    <cellStyle name="20% - Accent3 4 5 4" xfId="18633"/>
    <cellStyle name="20% - Accent3 4 6" xfId="1312"/>
    <cellStyle name="20% - Accent3 4 6 2" xfId="11813"/>
    <cellStyle name="20% - Accent3 4 6 2 2" xfId="25528"/>
    <cellStyle name="20% - Accent3 4 6 3" xfId="18635"/>
    <cellStyle name="20% - Accent3 4 7" xfId="1313"/>
    <cellStyle name="20% - Accent3 4 7 2" xfId="12520"/>
    <cellStyle name="20% - Accent3 4 7 2 2" xfId="26232"/>
    <cellStyle name="20% - Accent3 4 7 3" xfId="18636"/>
    <cellStyle name="20% - Accent3 4 8" xfId="1314"/>
    <cellStyle name="20% - Accent3 4 8 2" xfId="13414"/>
    <cellStyle name="20% - Accent3 4 8 2 2" xfId="26963"/>
    <cellStyle name="20% - Accent3 4 8 3" xfId="18637"/>
    <cellStyle name="20% - Accent3 4 9" xfId="1315"/>
    <cellStyle name="20% - Accent3 4 9 2" xfId="13995"/>
    <cellStyle name="20% - Accent3 4 9 2 2" xfId="27544"/>
    <cellStyle name="20% - Accent3 4 9 3" xfId="18638"/>
    <cellStyle name="20% - Accent3 5" xfId="1316"/>
    <cellStyle name="20% - Accent3 5 10" xfId="1317"/>
    <cellStyle name="20% - Accent3 5 10 2" xfId="14815"/>
    <cellStyle name="20% - Accent3 5 10 2 2" xfId="28364"/>
    <cellStyle name="20% - Accent3 5 10 3" xfId="18640"/>
    <cellStyle name="20% - Accent3 5 11" xfId="1318"/>
    <cellStyle name="20% - Accent3 5 11 2" xfId="15864"/>
    <cellStyle name="20% - Accent3 5 11 2 2" xfId="29271"/>
    <cellStyle name="20% - Accent3 5 11 3" xfId="18641"/>
    <cellStyle name="20% - Accent3 5 12" xfId="9007"/>
    <cellStyle name="20% - Accent3 5 12 2" xfId="23482"/>
    <cellStyle name="20% - Accent3 5 13" xfId="18639"/>
    <cellStyle name="20% - Accent3 5 2" xfId="1319"/>
    <cellStyle name="20% - Accent3 5 2 10" xfId="1320"/>
    <cellStyle name="20% - Accent3 5 2 10 2" xfId="16007"/>
    <cellStyle name="20% - Accent3 5 2 10 2 2" xfId="29414"/>
    <cellStyle name="20% - Accent3 5 2 10 3" xfId="18643"/>
    <cellStyle name="20% - Accent3 5 2 11" xfId="9008"/>
    <cellStyle name="20% - Accent3 5 2 11 2" xfId="23483"/>
    <cellStyle name="20% - Accent3 5 2 12" xfId="18642"/>
    <cellStyle name="20% - Accent3 5 2 2" xfId="1321"/>
    <cellStyle name="20% - Accent3 5 2 2 10" xfId="9009"/>
    <cellStyle name="20% - Accent3 5 2 2 10 2" xfId="23484"/>
    <cellStyle name="20% - Accent3 5 2 2 11" xfId="18644"/>
    <cellStyle name="20% - Accent3 5 2 2 2" xfId="1322"/>
    <cellStyle name="20% - Accent3 5 2 2 2 2" xfId="1323"/>
    <cellStyle name="20% - Accent3 5 2 2 2 2 2" xfId="10735"/>
    <cellStyle name="20% - Accent3 5 2 2 2 2 2 2" xfId="24677"/>
    <cellStyle name="20% - Accent3 5 2 2 2 2 3" xfId="18646"/>
    <cellStyle name="20% - Accent3 5 2 2 2 3" xfId="1324"/>
    <cellStyle name="20% - Accent3 5 2 2 2 3 2" xfId="12496"/>
    <cellStyle name="20% - Accent3 5 2 2 2 3 2 2" xfId="26208"/>
    <cellStyle name="20% - Accent3 5 2 2 2 3 3" xfId="18647"/>
    <cellStyle name="20% - Accent3 5 2 2 2 4" xfId="1325"/>
    <cellStyle name="20% - Accent3 5 2 2 2 4 2" xfId="14818"/>
    <cellStyle name="20% - Accent3 5 2 2 2 4 2 2" xfId="28367"/>
    <cellStyle name="20% - Accent3 5 2 2 2 4 3" xfId="18648"/>
    <cellStyle name="20% - Accent3 5 2 2 2 5" xfId="1326"/>
    <cellStyle name="20% - Accent3 5 2 2 2 5 2" xfId="16877"/>
    <cellStyle name="20% - Accent3 5 2 2 2 5 2 2" xfId="30284"/>
    <cellStyle name="20% - Accent3 5 2 2 2 5 3" xfId="18649"/>
    <cellStyle name="20% - Accent3 5 2 2 2 6" xfId="9010"/>
    <cellStyle name="20% - Accent3 5 2 2 2 6 2" xfId="23485"/>
    <cellStyle name="20% - Accent3 5 2 2 2 7" xfId="18645"/>
    <cellStyle name="20% - Accent3 5 2 2 3" xfId="1327"/>
    <cellStyle name="20% - Accent3 5 2 2 3 2" xfId="1328"/>
    <cellStyle name="20% - Accent3 5 2 2 3 2 2" xfId="14819"/>
    <cellStyle name="20% - Accent3 5 2 2 3 2 2 2" xfId="28368"/>
    <cellStyle name="20% - Accent3 5 2 2 3 2 3" xfId="18651"/>
    <cellStyle name="20% - Accent3 5 2 2 3 3" xfId="10734"/>
    <cellStyle name="20% - Accent3 5 2 2 3 3 2" xfId="24676"/>
    <cellStyle name="20% - Accent3 5 2 2 3 4" xfId="18650"/>
    <cellStyle name="20% - Accent3 5 2 2 4" xfId="1329"/>
    <cellStyle name="20% - Accent3 5 2 2 4 2" xfId="12265"/>
    <cellStyle name="20% - Accent3 5 2 2 4 2 2" xfId="25977"/>
    <cellStyle name="20% - Accent3 5 2 2 4 3" xfId="18652"/>
    <cellStyle name="20% - Accent3 5 2 2 5" xfId="1330"/>
    <cellStyle name="20% - Accent3 5 2 2 5 2" xfId="12695"/>
    <cellStyle name="20% - Accent3 5 2 2 5 2 2" xfId="26407"/>
    <cellStyle name="20% - Accent3 5 2 2 5 3" xfId="18653"/>
    <cellStyle name="20% - Accent3 5 2 2 6" xfId="1331"/>
    <cellStyle name="20% - Accent3 5 2 2 6 2" xfId="13829"/>
    <cellStyle name="20% - Accent3 5 2 2 6 2 2" xfId="27378"/>
    <cellStyle name="20% - Accent3 5 2 2 6 3" xfId="18654"/>
    <cellStyle name="20% - Accent3 5 2 2 7" xfId="1332"/>
    <cellStyle name="20% - Accent3 5 2 2 7 2" xfId="14410"/>
    <cellStyle name="20% - Accent3 5 2 2 7 2 2" xfId="27959"/>
    <cellStyle name="20% - Accent3 5 2 2 7 3" xfId="18655"/>
    <cellStyle name="20% - Accent3 5 2 2 8" xfId="1333"/>
    <cellStyle name="20% - Accent3 5 2 2 8 2" xfId="14817"/>
    <cellStyle name="20% - Accent3 5 2 2 8 2 2" xfId="28366"/>
    <cellStyle name="20% - Accent3 5 2 2 8 3" xfId="18656"/>
    <cellStyle name="20% - Accent3 5 2 2 9" xfId="1334"/>
    <cellStyle name="20% - Accent3 5 2 2 9 2" xfId="16296"/>
    <cellStyle name="20% - Accent3 5 2 2 9 2 2" xfId="29703"/>
    <cellStyle name="20% - Accent3 5 2 2 9 3" xfId="18657"/>
    <cellStyle name="20% - Accent3 5 2 3" xfId="1335"/>
    <cellStyle name="20% - Accent3 5 2 3 2" xfId="1336"/>
    <cellStyle name="20% - Accent3 5 2 3 2 2" xfId="10736"/>
    <cellStyle name="20% - Accent3 5 2 3 2 2 2" xfId="24678"/>
    <cellStyle name="20% - Accent3 5 2 3 2 3" xfId="18659"/>
    <cellStyle name="20% - Accent3 5 2 3 3" xfId="1337"/>
    <cellStyle name="20% - Accent3 5 2 3 3 2" xfId="12711"/>
    <cellStyle name="20% - Accent3 5 2 3 3 2 2" xfId="26423"/>
    <cellStyle name="20% - Accent3 5 2 3 3 3" xfId="18660"/>
    <cellStyle name="20% - Accent3 5 2 3 4" xfId="1338"/>
    <cellStyle name="20% - Accent3 5 2 3 4 2" xfId="14820"/>
    <cellStyle name="20% - Accent3 5 2 3 4 2 2" xfId="28369"/>
    <cellStyle name="20% - Accent3 5 2 3 4 3" xfId="18661"/>
    <cellStyle name="20% - Accent3 5 2 3 5" xfId="1339"/>
    <cellStyle name="20% - Accent3 5 2 3 5 2" xfId="16588"/>
    <cellStyle name="20% - Accent3 5 2 3 5 2 2" xfId="29995"/>
    <cellStyle name="20% - Accent3 5 2 3 5 3" xfId="18662"/>
    <cellStyle name="20% - Accent3 5 2 3 6" xfId="9011"/>
    <cellStyle name="20% - Accent3 5 2 3 6 2" xfId="23486"/>
    <cellStyle name="20% - Accent3 5 2 3 7" xfId="18658"/>
    <cellStyle name="20% - Accent3 5 2 4" xfId="1340"/>
    <cellStyle name="20% - Accent3 5 2 4 2" xfId="1341"/>
    <cellStyle name="20% - Accent3 5 2 4 2 2" xfId="14821"/>
    <cellStyle name="20% - Accent3 5 2 4 2 2 2" xfId="28370"/>
    <cellStyle name="20% - Accent3 5 2 4 2 3" xfId="18664"/>
    <cellStyle name="20% - Accent3 5 2 4 3" xfId="10733"/>
    <cellStyle name="20% - Accent3 5 2 4 3 2" xfId="24675"/>
    <cellStyle name="20% - Accent3 5 2 4 4" xfId="18663"/>
    <cellStyle name="20% - Accent3 5 2 5" xfId="1342"/>
    <cellStyle name="20% - Accent3 5 2 5 2" xfId="11965"/>
    <cellStyle name="20% - Accent3 5 2 5 2 2" xfId="25680"/>
    <cellStyle name="20% - Accent3 5 2 5 3" xfId="18665"/>
    <cellStyle name="20% - Accent3 5 2 6" xfId="1343"/>
    <cellStyle name="20% - Accent3 5 2 6 2" xfId="12803"/>
    <cellStyle name="20% - Accent3 5 2 6 2 2" xfId="26515"/>
    <cellStyle name="20% - Accent3 5 2 6 3" xfId="18666"/>
    <cellStyle name="20% - Accent3 5 2 7" xfId="1344"/>
    <cellStyle name="20% - Accent3 5 2 7 2" xfId="13540"/>
    <cellStyle name="20% - Accent3 5 2 7 2 2" xfId="27089"/>
    <cellStyle name="20% - Accent3 5 2 7 3" xfId="18667"/>
    <cellStyle name="20% - Accent3 5 2 8" xfId="1345"/>
    <cellStyle name="20% - Accent3 5 2 8 2" xfId="14121"/>
    <cellStyle name="20% - Accent3 5 2 8 2 2" xfId="27670"/>
    <cellStyle name="20% - Accent3 5 2 8 3" xfId="18668"/>
    <cellStyle name="20% - Accent3 5 2 9" xfId="1346"/>
    <cellStyle name="20% - Accent3 5 2 9 2" xfId="14816"/>
    <cellStyle name="20% - Accent3 5 2 9 2 2" xfId="28365"/>
    <cellStyle name="20% - Accent3 5 2 9 3" xfId="18669"/>
    <cellStyle name="20% - Accent3 5 3" xfId="1347"/>
    <cellStyle name="20% - Accent3 5 3 10" xfId="9012"/>
    <cellStyle name="20% - Accent3 5 3 10 2" xfId="23487"/>
    <cellStyle name="20% - Accent3 5 3 11" xfId="18670"/>
    <cellStyle name="20% - Accent3 5 3 2" xfId="1348"/>
    <cellStyle name="20% - Accent3 5 3 2 2" xfId="1349"/>
    <cellStyle name="20% - Accent3 5 3 2 2 2" xfId="10738"/>
    <cellStyle name="20% - Accent3 5 3 2 2 2 2" xfId="24680"/>
    <cellStyle name="20% - Accent3 5 3 2 2 3" xfId="18672"/>
    <cellStyle name="20% - Accent3 5 3 2 3" xfId="1350"/>
    <cellStyle name="20% - Accent3 5 3 2 3 2" xfId="12611"/>
    <cellStyle name="20% - Accent3 5 3 2 3 2 2" xfId="26323"/>
    <cellStyle name="20% - Accent3 5 3 2 3 3" xfId="18673"/>
    <cellStyle name="20% - Accent3 5 3 2 4" xfId="1351"/>
    <cellStyle name="20% - Accent3 5 3 2 4 2" xfId="14823"/>
    <cellStyle name="20% - Accent3 5 3 2 4 2 2" xfId="28372"/>
    <cellStyle name="20% - Accent3 5 3 2 4 3" xfId="18674"/>
    <cellStyle name="20% - Accent3 5 3 2 5" xfId="1352"/>
    <cellStyle name="20% - Accent3 5 3 2 5 2" xfId="16737"/>
    <cellStyle name="20% - Accent3 5 3 2 5 2 2" xfId="30144"/>
    <cellStyle name="20% - Accent3 5 3 2 5 3" xfId="18675"/>
    <cellStyle name="20% - Accent3 5 3 2 6" xfId="9013"/>
    <cellStyle name="20% - Accent3 5 3 2 6 2" xfId="23488"/>
    <cellStyle name="20% - Accent3 5 3 2 7" xfId="18671"/>
    <cellStyle name="20% - Accent3 5 3 3" xfId="1353"/>
    <cellStyle name="20% - Accent3 5 3 3 2" xfId="1354"/>
    <cellStyle name="20% - Accent3 5 3 3 2 2" xfId="14824"/>
    <cellStyle name="20% - Accent3 5 3 3 2 2 2" xfId="28373"/>
    <cellStyle name="20% - Accent3 5 3 3 2 3" xfId="18677"/>
    <cellStyle name="20% - Accent3 5 3 3 3" xfId="10737"/>
    <cellStyle name="20% - Accent3 5 3 3 3 2" xfId="24679"/>
    <cellStyle name="20% - Accent3 5 3 3 4" xfId="18676"/>
    <cellStyle name="20% - Accent3 5 3 4" xfId="1355"/>
    <cellStyle name="20% - Accent3 5 3 4 2" xfId="12125"/>
    <cellStyle name="20% - Accent3 5 3 4 2 2" xfId="25837"/>
    <cellStyle name="20% - Accent3 5 3 4 3" xfId="18678"/>
    <cellStyle name="20% - Accent3 5 3 5" xfId="1356"/>
    <cellStyle name="20% - Accent3 5 3 5 2" xfId="12607"/>
    <cellStyle name="20% - Accent3 5 3 5 2 2" xfId="26319"/>
    <cellStyle name="20% - Accent3 5 3 5 3" xfId="18679"/>
    <cellStyle name="20% - Accent3 5 3 6" xfId="1357"/>
    <cellStyle name="20% - Accent3 5 3 6 2" xfId="13689"/>
    <cellStyle name="20% - Accent3 5 3 6 2 2" xfId="27238"/>
    <cellStyle name="20% - Accent3 5 3 6 3" xfId="18680"/>
    <cellStyle name="20% - Accent3 5 3 7" xfId="1358"/>
    <cellStyle name="20% - Accent3 5 3 7 2" xfId="14270"/>
    <cellStyle name="20% - Accent3 5 3 7 2 2" xfId="27819"/>
    <cellStyle name="20% - Accent3 5 3 7 3" xfId="18681"/>
    <cellStyle name="20% - Accent3 5 3 8" xfId="1359"/>
    <cellStyle name="20% - Accent3 5 3 8 2" xfId="14822"/>
    <cellStyle name="20% - Accent3 5 3 8 2 2" xfId="28371"/>
    <cellStyle name="20% - Accent3 5 3 8 3" xfId="18682"/>
    <cellStyle name="20% - Accent3 5 3 9" xfId="1360"/>
    <cellStyle name="20% - Accent3 5 3 9 2" xfId="16156"/>
    <cellStyle name="20% - Accent3 5 3 9 2 2" xfId="29563"/>
    <cellStyle name="20% - Accent3 5 3 9 3" xfId="18683"/>
    <cellStyle name="20% - Accent3 5 4" xfId="1361"/>
    <cellStyle name="20% - Accent3 5 4 2" xfId="1362"/>
    <cellStyle name="20% - Accent3 5 4 2 2" xfId="10739"/>
    <cellStyle name="20% - Accent3 5 4 2 2 2" xfId="24681"/>
    <cellStyle name="20% - Accent3 5 4 2 3" xfId="18685"/>
    <cellStyle name="20% - Accent3 5 4 3" xfId="1363"/>
    <cellStyle name="20% - Accent3 5 4 3 2" xfId="12422"/>
    <cellStyle name="20% - Accent3 5 4 3 2 2" xfId="26134"/>
    <cellStyle name="20% - Accent3 5 4 3 3" xfId="18686"/>
    <cellStyle name="20% - Accent3 5 4 4" xfId="1364"/>
    <cellStyle name="20% - Accent3 5 4 4 2" xfId="14825"/>
    <cellStyle name="20% - Accent3 5 4 4 2 2" xfId="28374"/>
    <cellStyle name="20% - Accent3 5 4 4 3" xfId="18687"/>
    <cellStyle name="20% - Accent3 5 4 5" xfId="1365"/>
    <cellStyle name="20% - Accent3 5 4 5 2" xfId="16445"/>
    <cellStyle name="20% - Accent3 5 4 5 2 2" xfId="29852"/>
    <cellStyle name="20% - Accent3 5 4 5 3" xfId="18688"/>
    <cellStyle name="20% - Accent3 5 4 6" xfId="9014"/>
    <cellStyle name="20% - Accent3 5 4 6 2" xfId="23489"/>
    <cellStyle name="20% - Accent3 5 4 7" xfId="18684"/>
    <cellStyle name="20% - Accent3 5 5" xfId="1366"/>
    <cellStyle name="20% - Accent3 5 5 2" xfId="1367"/>
    <cellStyle name="20% - Accent3 5 5 2 2" xfId="14826"/>
    <cellStyle name="20% - Accent3 5 5 2 2 2" xfId="28375"/>
    <cellStyle name="20% - Accent3 5 5 2 3" xfId="18690"/>
    <cellStyle name="20% - Accent3 5 5 3" xfId="10732"/>
    <cellStyle name="20% - Accent3 5 5 3 2" xfId="24674"/>
    <cellStyle name="20% - Accent3 5 5 4" xfId="18689"/>
    <cellStyle name="20% - Accent3 5 6" xfId="1368"/>
    <cellStyle name="20% - Accent3 5 6 2" xfId="11796"/>
    <cellStyle name="20% - Accent3 5 6 2 2" xfId="25511"/>
    <cellStyle name="20% - Accent3 5 6 3" xfId="18691"/>
    <cellStyle name="20% - Accent3 5 7" xfId="1369"/>
    <cellStyle name="20% - Accent3 5 7 2" xfId="12585"/>
    <cellStyle name="20% - Accent3 5 7 2 2" xfId="26297"/>
    <cellStyle name="20% - Accent3 5 7 3" xfId="18692"/>
    <cellStyle name="20% - Accent3 5 8" xfId="1370"/>
    <cellStyle name="20% - Accent3 5 8 2" xfId="13397"/>
    <cellStyle name="20% - Accent3 5 8 2 2" xfId="26946"/>
    <cellStyle name="20% - Accent3 5 8 3" xfId="18693"/>
    <cellStyle name="20% - Accent3 5 9" xfId="1371"/>
    <cellStyle name="20% - Accent3 5 9 2" xfId="13978"/>
    <cellStyle name="20% - Accent3 5 9 2 2" xfId="27527"/>
    <cellStyle name="20% - Accent3 5 9 3" xfId="18694"/>
    <cellStyle name="20% - Accent3 6" xfId="1372"/>
    <cellStyle name="20% - Accent3 6 10" xfId="1373"/>
    <cellStyle name="20% - Accent3 6 10 2" xfId="14827"/>
    <cellStyle name="20% - Accent3 6 10 2 2" xfId="28376"/>
    <cellStyle name="20% - Accent3 6 10 3" xfId="18696"/>
    <cellStyle name="20% - Accent3 6 11" xfId="1374"/>
    <cellStyle name="20% - Accent3 6 11 2" xfId="15970"/>
    <cellStyle name="20% - Accent3 6 11 2 2" xfId="29377"/>
    <cellStyle name="20% - Accent3 6 11 3" xfId="18697"/>
    <cellStyle name="20% - Accent3 6 12" xfId="9015"/>
    <cellStyle name="20% - Accent3 6 12 2" xfId="23490"/>
    <cellStyle name="20% - Accent3 6 13" xfId="18695"/>
    <cellStyle name="20% - Accent3 6 2" xfId="1375"/>
    <cellStyle name="20% - Accent3 6 2 10" xfId="1376"/>
    <cellStyle name="20% - Accent3 6 2 10 2" xfId="16113"/>
    <cellStyle name="20% - Accent3 6 2 10 2 2" xfId="29520"/>
    <cellStyle name="20% - Accent3 6 2 10 3" xfId="18699"/>
    <cellStyle name="20% - Accent3 6 2 11" xfId="9016"/>
    <cellStyle name="20% - Accent3 6 2 11 2" xfId="23491"/>
    <cellStyle name="20% - Accent3 6 2 12" xfId="18698"/>
    <cellStyle name="20% - Accent3 6 2 2" xfId="1377"/>
    <cellStyle name="20% - Accent3 6 2 2 10" xfId="9017"/>
    <cellStyle name="20% - Accent3 6 2 2 10 2" xfId="23492"/>
    <cellStyle name="20% - Accent3 6 2 2 11" xfId="18700"/>
    <cellStyle name="20% - Accent3 6 2 2 2" xfId="1378"/>
    <cellStyle name="20% - Accent3 6 2 2 2 2" xfId="1379"/>
    <cellStyle name="20% - Accent3 6 2 2 2 2 2" xfId="10743"/>
    <cellStyle name="20% - Accent3 6 2 2 2 2 2 2" xfId="24685"/>
    <cellStyle name="20% - Accent3 6 2 2 2 2 3" xfId="18702"/>
    <cellStyle name="20% - Accent3 6 2 2 2 3" xfId="1380"/>
    <cellStyle name="20% - Accent3 6 2 2 2 3 2" xfId="12795"/>
    <cellStyle name="20% - Accent3 6 2 2 2 3 2 2" xfId="26507"/>
    <cellStyle name="20% - Accent3 6 2 2 2 3 3" xfId="18703"/>
    <cellStyle name="20% - Accent3 6 2 2 2 4" xfId="1381"/>
    <cellStyle name="20% - Accent3 6 2 2 2 4 2" xfId="14830"/>
    <cellStyle name="20% - Accent3 6 2 2 2 4 2 2" xfId="28379"/>
    <cellStyle name="20% - Accent3 6 2 2 2 4 3" xfId="18704"/>
    <cellStyle name="20% - Accent3 6 2 2 2 5" xfId="1382"/>
    <cellStyle name="20% - Accent3 6 2 2 2 5 2" xfId="16983"/>
    <cellStyle name="20% - Accent3 6 2 2 2 5 2 2" xfId="30390"/>
    <cellStyle name="20% - Accent3 6 2 2 2 5 3" xfId="18705"/>
    <cellStyle name="20% - Accent3 6 2 2 2 6" xfId="9018"/>
    <cellStyle name="20% - Accent3 6 2 2 2 6 2" xfId="23493"/>
    <cellStyle name="20% - Accent3 6 2 2 2 7" xfId="18701"/>
    <cellStyle name="20% - Accent3 6 2 2 3" xfId="1383"/>
    <cellStyle name="20% - Accent3 6 2 2 3 2" xfId="1384"/>
    <cellStyle name="20% - Accent3 6 2 2 3 2 2" xfId="14831"/>
    <cellStyle name="20% - Accent3 6 2 2 3 2 2 2" xfId="28380"/>
    <cellStyle name="20% - Accent3 6 2 2 3 2 3" xfId="18707"/>
    <cellStyle name="20% - Accent3 6 2 2 3 3" xfId="10742"/>
    <cellStyle name="20% - Accent3 6 2 2 3 3 2" xfId="24684"/>
    <cellStyle name="20% - Accent3 6 2 2 3 4" xfId="18706"/>
    <cellStyle name="20% - Accent3 6 2 2 4" xfId="1385"/>
    <cellStyle name="20% - Accent3 6 2 2 4 2" xfId="12371"/>
    <cellStyle name="20% - Accent3 6 2 2 4 2 2" xfId="26083"/>
    <cellStyle name="20% - Accent3 6 2 2 4 3" xfId="18708"/>
    <cellStyle name="20% - Accent3 6 2 2 5" xfId="1386"/>
    <cellStyle name="20% - Accent3 6 2 2 5 2" xfId="12655"/>
    <cellStyle name="20% - Accent3 6 2 2 5 2 2" xfId="26367"/>
    <cellStyle name="20% - Accent3 6 2 2 5 3" xfId="18709"/>
    <cellStyle name="20% - Accent3 6 2 2 6" xfId="1387"/>
    <cellStyle name="20% - Accent3 6 2 2 6 2" xfId="13935"/>
    <cellStyle name="20% - Accent3 6 2 2 6 2 2" xfId="27484"/>
    <cellStyle name="20% - Accent3 6 2 2 6 3" xfId="18710"/>
    <cellStyle name="20% - Accent3 6 2 2 7" xfId="1388"/>
    <cellStyle name="20% - Accent3 6 2 2 7 2" xfId="14516"/>
    <cellStyle name="20% - Accent3 6 2 2 7 2 2" xfId="28065"/>
    <cellStyle name="20% - Accent3 6 2 2 7 3" xfId="18711"/>
    <cellStyle name="20% - Accent3 6 2 2 8" xfId="1389"/>
    <cellStyle name="20% - Accent3 6 2 2 8 2" xfId="14829"/>
    <cellStyle name="20% - Accent3 6 2 2 8 2 2" xfId="28378"/>
    <cellStyle name="20% - Accent3 6 2 2 8 3" xfId="18712"/>
    <cellStyle name="20% - Accent3 6 2 2 9" xfId="1390"/>
    <cellStyle name="20% - Accent3 6 2 2 9 2" xfId="16402"/>
    <cellStyle name="20% - Accent3 6 2 2 9 2 2" xfId="29809"/>
    <cellStyle name="20% - Accent3 6 2 2 9 3" xfId="18713"/>
    <cellStyle name="20% - Accent3 6 2 3" xfId="1391"/>
    <cellStyle name="20% - Accent3 6 2 3 2" xfId="1392"/>
    <cellStyle name="20% - Accent3 6 2 3 2 2" xfId="10744"/>
    <cellStyle name="20% - Accent3 6 2 3 2 2 2" xfId="24686"/>
    <cellStyle name="20% - Accent3 6 2 3 2 3" xfId="18715"/>
    <cellStyle name="20% - Accent3 6 2 3 3" xfId="1393"/>
    <cellStyle name="20% - Accent3 6 2 3 3 2" xfId="11860"/>
    <cellStyle name="20% - Accent3 6 2 3 3 2 2" xfId="25575"/>
    <cellStyle name="20% - Accent3 6 2 3 3 3" xfId="18716"/>
    <cellStyle name="20% - Accent3 6 2 3 4" xfId="1394"/>
    <cellStyle name="20% - Accent3 6 2 3 4 2" xfId="14832"/>
    <cellStyle name="20% - Accent3 6 2 3 4 2 2" xfId="28381"/>
    <cellStyle name="20% - Accent3 6 2 3 4 3" xfId="18717"/>
    <cellStyle name="20% - Accent3 6 2 3 5" xfId="1395"/>
    <cellStyle name="20% - Accent3 6 2 3 5 2" xfId="16694"/>
    <cellStyle name="20% - Accent3 6 2 3 5 2 2" xfId="30101"/>
    <cellStyle name="20% - Accent3 6 2 3 5 3" xfId="18718"/>
    <cellStyle name="20% - Accent3 6 2 3 6" xfId="9019"/>
    <cellStyle name="20% - Accent3 6 2 3 6 2" xfId="23494"/>
    <cellStyle name="20% - Accent3 6 2 3 7" xfId="18714"/>
    <cellStyle name="20% - Accent3 6 2 4" xfId="1396"/>
    <cellStyle name="20% - Accent3 6 2 4 2" xfId="1397"/>
    <cellStyle name="20% - Accent3 6 2 4 2 2" xfId="14833"/>
    <cellStyle name="20% - Accent3 6 2 4 2 2 2" xfId="28382"/>
    <cellStyle name="20% - Accent3 6 2 4 2 3" xfId="18720"/>
    <cellStyle name="20% - Accent3 6 2 4 3" xfId="10741"/>
    <cellStyle name="20% - Accent3 6 2 4 3 2" xfId="24683"/>
    <cellStyle name="20% - Accent3 6 2 4 4" xfId="18719"/>
    <cellStyle name="20% - Accent3 6 2 5" xfId="1398"/>
    <cellStyle name="20% - Accent3 6 2 5 2" xfId="12071"/>
    <cellStyle name="20% - Accent3 6 2 5 2 2" xfId="25786"/>
    <cellStyle name="20% - Accent3 6 2 5 3" xfId="18721"/>
    <cellStyle name="20% - Accent3 6 2 6" xfId="1399"/>
    <cellStyle name="20% - Accent3 6 2 6 2" xfId="12409"/>
    <cellStyle name="20% - Accent3 6 2 6 2 2" xfId="26121"/>
    <cellStyle name="20% - Accent3 6 2 6 3" xfId="18722"/>
    <cellStyle name="20% - Accent3 6 2 7" xfId="1400"/>
    <cellStyle name="20% - Accent3 6 2 7 2" xfId="13646"/>
    <cellStyle name="20% - Accent3 6 2 7 2 2" xfId="27195"/>
    <cellStyle name="20% - Accent3 6 2 7 3" xfId="18723"/>
    <cellStyle name="20% - Accent3 6 2 8" xfId="1401"/>
    <cellStyle name="20% - Accent3 6 2 8 2" xfId="14227"/>
    <cellStyle name="20% - Accent3 6 2 8 2 2" xfId="27776"/>
    <cellStyle name="20% - Accent3 6 2 8 3" xfId="18724"/>
    <cellStyle name="20% - Accent3 6 2 9" xfId="1402"/>
    <cellStyle name="20% - Accent3 6 2 9 2" xfId="14828"/>
    <cellStyle name="20% - Accent3 6 2 9 2 2" xfId="28377"/>
    <cellStyle name="20% - Accent3 6 2 9 3" xfId="18725"/>
    <cellStyle name="20% - Accent3 6 3" xfId="1403"/>
    <cellStyle name="20% - Accent3 6 3 10" xfId="9020"/>
    <cellStyle name="20% - Accent3 6 3 10 2" xfId="23495"/>
    <cellStyle name="20% - Accent3 6 3 11" xfId="18726"/>
    <cellStyle name="20% - Accent3 6 3 2" xfId="1404"/>
    <cellStyle name="20% - Accent3 6 3 2 2" xfId="1405"/>
    <cellStyle name="20% - Accent3 6 3 2 2 2" xfId="10746"/>
    <cellStyle name="20% - Accent3 6 3 2 2 2 2" xfId="24688"/>
    <cellStyle name="20% - Accent3 6 3 2 2 3" xfId="18728"/>
    <cellStyle name="20% - Accent3 6 3 2 3" xfId="1406"/>
    <cellStyle name="20% - Accent3 6 3 2 3 2" xfId="12648"/>
    <cellStyle name="20% - Accent3 6 3 2 3 2 2" xfId="26360"/>
    <cellStyle name="20% - Accent3 6 3 2 3 3" xfId="18729"/>
    <cellStyle name="20% - Accent3 6 3 2 4" xfId="1407"/>
    <cellStyle name="20% - Accent3 6 3 2 4 2" xfId="14835"/>
    <cellStyle name="20% - Accent3 6 3 2 4 2 2" xfId="28384"/>
    <cellStyle name="20% - Accent3 6 3 2 4 3" xfId="18730"/>
    <cellStyle name="20% - Accent3 6 3 2 5" xfId="1408"/>
    <cellStyle name="20% - Accent3 6 3 2 5 2" xfId="16840"/>
    <cellStyle name="20% - Accent3 6 3 2 5 2 2" xfId="30247"/>
    <cellStyle name="20% - Accent3 6 3 2 5 3" xfId="18731"/>
    <cellStyle name="20% - Accent3 6 3 2 6" xfId="9021"/>
    <cellStyle name="20% - Accent3 6 3 2 6 2" xfId="23496"/>
    <cellStyle name="20% - Accent3 6 3 2 7" xfId="18727"/>
    <cellStyle name="20% - Accent3 6 3 3" xfId="1409"/>
    <cellStyle name="20% - Accent3 6 3 3 2" xfId="1410"/>
    <cellStyle name="20% - Accent3 6 3 3 2 2" xfId="14836"/>
    <cellStyle name="20% - Accent3 6 3 3 2 2 2" xfId="28385"/>
    <cellStyle name="20% - Accent3 6 3 3 2 3" xfId="18733"/>
    <cellStyle name="20% - Accent3 6 3 3 3" xfId="10745"/>
    <cellStyle name="20% - Accent3 6 3 3 3 2" xfId="24687"/>
    <cellStyle name="20% - Accent3 6 3 3 4" xfId="18732"/>
    <cellStyle name="20% - Accent3 6 3 4" xfId="1411"/>
    <cellStyle name="20% - Accent3 6 3 4 2" xfId="12228"/>
    <cellStyle name="20% - Accent3 6 3 4 2 2" xfId="25940"/>
    <cellStyle name="20% - Accent3 6 3 4 3" xfId="18734"/>
    <cellStyle name="20% - Accent3 6 3 5" xfId="1412"/>
    <cellStyle name="20% - Accent3 6 3 5 2" xfId="12728"/>
    <cellStyle name="20% - Accent3 6 3 5 2 2" xfId="26440"/>
    <cellStyle name="20% - Accent3 6 3 5 3" xfId="18735"/>
    <cellStyle name="20% - Accent3 6 3 6" xfId="1413"/>
    <cellStyle name="20% - Accent3 6 3 6 2" xfId="13792"/>
    <cellStyle name="20% - Accent3 6 3 6 2 2" xfId="27341"/>
    <cellStyle name="20% - Accent3 6 3 6 3" xfId="18736"/>
    <cellStyle name="20% - Accent3 6 3 7" xfId="1414"/>
    <cellStyle name="20% - Accent3 6 3 7 2" xfId="14373"/>
    <cellStyle name="20% - Accent3 6 3 7 2 2" xfId="27922"/>
    <cellStyle name="20% - Accent3 6 3 7 3" xfId="18737"/>
    <cellStyle name="20% - Accent3 6 3 8" xfId="1415"/>
    <cellStyle name="20% - Accent3 6 3 8 2" xfId="14834"/>
    <cellStyle name="20% - Accent3 6 3 8 2 2" xfId="28383"/>
    <cellStyle name="20% - Accent3 6 3 8 3" xfId="18738"/>
    <cellStyle name="20% - Accent3 6 3 9" xfId="1416"/>
    <cellStyle name="20% - Accent3 6 3 9 2" xfId="16259"/>
    <cellStyle name="20% - Accent3 6 3 9 2 2" xfId="29666"/>
    <cellStyle name="20% - Accent3 6 3 9 3" xfId="18739"/>
    <cellStyle name="20% - Accent3 6 4" xfId="1417"/>
    <cellStyle name="20% - Accent3 6 4 2" xfId="1418"/>
    <cellStyle name="20% - Accent3 6 4 2 2" xfId="10747"/>
    <cellStyle name="20% - Accent3 6 4 2 2 2" xfId="24689"/>
    <cellStyle name="20% - Accent3 6 4 2 3" xfId="18741"/>
    <cellStyle name="20% - Accent3 6 4 3" xfId="1419"/>
    <cellStyle name="20% - Accent3 6 4 3 2" xfId="12675"/>
    <cellStyle name="20% - Accent3 6 4 3 2 2" xfId="26387"/>
    <cellStyle name="20% - Accent3 6 4 3 3" xfId="18742"/>
    <cellStyle name="20% - Accent3 6 4 4" xfId="1420"/>
    <cellStyle name="20% - Accent3 6 4 4 2" xfId="14837"/>
    <cellStyle name="20% - Accent3 6 4 4 2 2" xfId="28386"/>
    <cellStyle name="20% - Accent3 6 4 4 3" xfId="18743"/>
    <cellStyle name="20% - Accent3 6 4 5" xfId="1421"/>
    <cellStyle name="20% - Accent3 6 4 5 2" xfId="16551"/>
    <cellStyle name="20% - Accent3 6 4 5 2 2" xfId="29958"/>
    <cellStyle name="20% - Accent3 6 4 5 3" xfId="18744"/>
    <cellStyle name="20% - Accent3 6 4 6" xfId="9022"/>
    <cellStyle name="20% - Accent3 6 4 6 2" xfId="23497"/>
    <cellStyle name="20% - Accent3 6 4 7" xfId="18740"/>
    <cellStyle name="20% - Accent3 6 5" xfId="1422"/>
    <cellStyle name="20% - Accent3 6 5 2" xfId="1423"/>
    <cellStyle name="20% - Accent3 6 5 2 2" xfId="14838"/>
    <cellStyle name="20% - Accent3 6 5 2 2 2" xfId="28387"/>
    <cellStyle name="20% - Accent3 6 5 2 3" xfId="18746"/>
    <cellStyle name="20% - Accent3 6 5 3" xfId="10740"/>
    <cellStyle name="20% - Accent3 6 5 3 2" xfId="24682"/>
    <cellStyle name="20% - Accent3 6 5 4" xfId="18745"/>
    <cellStyle name="20% - Accent3 6 6" xfId="1424"/>
    <cellStyle name="20% - Accent3 6 6 2" xfId="11926"/>
    <cellStyle name="20% - Accent3 6 6 2 2" xfId="25641"/>
    <cellStyle name="20% - Accent3 6 6 3" xfId="18747"/>
    <cellStyle name="20% - Accent3 6 7" xfId="1425"/>
    <cellStyle name="20% - Accent3 6 7 2" xfId="12429"/>
    <cellStyle name="20% - Accent3 6 7 2 2" xfId="26141"/>
    <cellStyle name="20% - Accent3 6 7 3" xfId="18748"/>
    <cellStyle name="20% - Accent3 6 8" xfId="1426"/>
    <cellStyle name="20% - Accent3 6 8 2" xfId="13503"/>
    <cellStyle name="20% - Accent3 6 8 2 2" xfId="27052"/>
    <cellStyle name="20% - Accent3 6 8 3" xfId="18749"/>
    <cellStyle name="20% - Accent3 6 9" xfId="1427"/>
    <cellStyle name="20% - Accent3 6 9 2" xfId="14084"/>
    <cellStyle name="20% - Accent3 6 9 2 2" xfId="27633"/>
    <cellStyle name="20% - Accent3 6 9 3" xfId="18750"/>
    <cellStyle name="20% - Accent3 7" xfId="1428"/>
    <cellStyle name="20% - Accent3 7 10" xfId="1429"/>
    <cellStyle name="20% - Accent3 7 10 2" xfId="15992"/>
    <cellStyle name="20% - Accent3 7 10 2 2" xfId="29399"/>
    <cellStyle name="20% - Accent3 7 10 3" xfId="18752"/>
    <cellStyle name="20% - Accent3 7 11" xfId="9023"/>
    <cellStyle name="20% - Accent3 7 11 2" xfId="23498"/>
    <cellStyle name="20% - Accent3 7 12" xfId="18751"/>
    <cellStyle name="20% - Accent3 7 2" xfId="1430"/>
    <cellStyle name="20% - Accent3 7 2 10" xfId="9024"/>
    <cellStyle name="20% - Accent3 7 2 10 2" xfId="23499"/>
    <cellStyle name="20% - Accent3 7 2 11" xfId="18753"/>
    <cellStyle name="20% - Accent3 7 2 2" xfId="1431"/>
    <cellStyle name="20% - Accent3 7 2 2 2" xfId="1432"/>
    <cellStyle name="20% - Accent3 7 2 2 2 2" xfId="10750"/>
    <cellStyle name="20% - Accent3 7 2 2 2 2 2" xfId="24692"/>
    <cellStyle name="20% - Accent3 7 2 2 2 3" xfId="18755"/>
    <cellStyle name="20% - Accent3 7 2 2 3" xfId="1433"/>
    <cellStyle name="20% - Accent3 7 2 2 3 2" xfId="12532"/>
    <cellStyle name="20% - Accent3 7 2 2 3 2 2" xfId="26244"/>
    <cellStyle name="20% - Accent3 7 2 2 3 3" xfId="18756"/>
    <cellStyle name="20% - Accent3 7 2 2 4" xfId="1434"/>
    <cellStyle name="20% - Accent3 7 2 2 4 2" xfId="14841"/>
    <cellStyle name="20% - Accent3 7 2 2 4 2 2" xfId="28390"/>
    <cellStyle name="20% - Accent3 7 2 2 4 3" xfId="18757"/>
    <cellStyle name="20% - Accent3 7 2 2 5" xfId="1435"/>
    <cellStyle name="20% - Accent3 7 2 2 5 2" xfId="16862"/>
    <cellStyle name="20% - Accent3 7 2 2 5 2 2" xfId="30269"/>
    <cellStyle name="20% - Accent3 7 2 2 5 3" xfId="18758"/>
    <cellStyle name="20% - Accent3 7 2 2 6" xfId="9025"/>
    <cellStyle name="20% - Accent3 7 2 2 6 2" xfId="23500"/>
    <cellStyle name="20% - Accent3 7 2 2 7" xfId="18754"/>
    <cellStyle name="20% - Accent3 7 2 3" xfId="1436"/>
    <cellStyle name="20% - Accent3 7 2 3 2" xfId="1437"/>
    <cellStyle name="20% - Accent3 7 2 3 2 2" xfId="14842"/>
    <cellStyle name="20% - Accent3 7 2 3 2 2 2" xfId="28391"/>
    <cellStyle name="20% - Accent3 7 2 3 2 3" xfId="18760"/>
    <cellStyle name="20% - Accent3 7 2 3 3" xfId="10749"/>
    <cellStyle name="20% - Accent3 7 2 3 3 2" xfId="24691"/>
    <cellStyle name="20% - Accent3 7 2 3 4" xfId="18759"/>
    <cellStyle name="20% - Accent3 7 2 4" xfId="1438"/>
    <cellStyle name="20% - Accent3 7 2 4 2" xfId="12250"/>
    <cellStyle name="20% - Accent3 7 2 4 2 2" xfId="25962"/>
    <cellStyle name="20% - Accent3 7 2 4 3" xfId="18761"/>
    <cellStyle name="20% - Accent3 7 2 5" xfId="1439"/>
    <cellStyle name="20% - Accent3 7 2 5 2" xfId="12531"/>
    <cellStyle name="20% - Accent3 7 2 5 2 2" xfId="26243"/>
    <cellStyle name="20% - Accent3 7 2 5 3" xfId="18762"/>
    <cellStyle name="20% - Accent3 7 2 6" xfId="1440"/>
    <cellStyle name="20% - Accent3 7 2 6 2" xfId="13814"/>
    <cellStyle name="20% - Accent3 7 2 6 2 2" xfId="27363"/>
    <cellStyle name="20% - Accent3 7 2 6 3" xfId="18763"/>
    <cellStyle name="20% - Accent3 7 2 7" xfId="1441"/>
    <cellStyle name="20% - Accent3 7 2 7 2" xfId="14395"/>
    <cellStyle name="20% - Accent3 7 2 7 2 2" xfId="27944"/>
    <cellStyle name="20% - Accent3 7 2 7 3" xfId="18764"/>
    <cellStyle name="20% - Accent3 7 2 8" xfId="1442"/>
    <cellStyle name="20% - Accent3 7 2 8 2" xfId="14840"/>
    <cellStyle name="20% - Accent3 7 2 8 2 2" xfId="28389"/>
    <cellStyle name="20% - Accent3 7 2 8 3" xfId="18765"/>
    <cellStyle name="20% - Accent3 7 2 9" xfId="1443"/>
    <cellStyle name="20% - Accent3 7 2 9 2" xfId="16281"/>
    <cellStyle name="20% - Accent3 7 2 9 2 2" xfId="29688"/>
    <cellStyle name="20% - Accent3 7 2 9 3" xfId="18766"/>
    <cellStyle name="20% - Accent3 7 3" xfId="1444"/>
    <cellStyle name="20% - Accent3 7 3 2" xfId="1445"/>
    <cellStyle name="20% - Accent3 7 3 2 2" xfId="10751"/>
    <cellStyle name="20% - Accent3 7 3 2 2 2" xfId="24693"/>
    <cellStyle name="20% - Accent3 7 3 2 3" xfId="18768"/>
    <cellStyle name="20% - Accent3 7 3 3" xfId="1446"/>
    <cellStyle name="20% - Accent3 7 3 3 2" xfId="12709"/>
    <cellStyle name="20% - Accent3 7 3 3 2 2" xfId="26421"/>
    <cellStyle name="20% - Accent3 7 3 3 3" xfId="18769"/>
    <cellStyle name="20% - Accent3 7 3 4" xfId="1447"/>
    <cellStyle name="20% - Accent3 7 3 4 2" xfId="14843"/>
    <cellStyle name="20% - Accent3 7 3 4 2 2" xfId="28392"/>
    <cellStyle name="20% - Accent3 7 3 4 3" xfId="18770"/>
    <cellStyle name="20% - Accent3 7 3 5" xfId="1448"/>
    <cellStyle name="20% - Accent3 7 3 5 2" xfId="16573"/>
    <cellStyle name="20% - Accent3 7 3 5 2 2" xfId="29980"/>
    <cellStyle name="20% - Accent3 7 3 5 3" xfId="18771"/>
    <cellStyle name="20% - Accent3 7 3 6" xfId="9026"/>
    <cellStyle name="20% - Accent3 7 3 6 2" xfId="23501"/>
    <cellStyle name="20% - Accent3 7 3 7" xfId="18767"/>
    <cellStyle name="20% - Accent3 7 4" xfId="1449"/>
    <cellStyle name="20% - Accent3 7 4 2" xfId="1450"/>
    <cellStyle name="20% - Accent3 7 4 2 2" xfId="14844"/>
    <cellStyle name="20% - Accent3 7 4 2 2 2" xfId="28393"/>
    <cellStyle name="20% - Accent3 7 4 2 3" xfId="18773"/>
    <cellStyle name="20% - Accent3 7 4 3" xfId="10748"/>
    <cellStyle name="20% - Accent3 7 4 3 2" xfId="24690"/>
    <cellStyle name="20% - Accent3 7 4 4" xfId="18772"/>
    <cellStyle name="20% - Accent3 7 5" xfId="1451"/>
    <cellStyle name="20% - Accent3 7 5 2" xfId="11948"/>
    <cellStyle name="20% - Accent3 7 5 2 2" xfId="25663"/>
    <cellStyle name="20% - Accent3 7 5 3" xfId="18774"/>
    <cellStyle name="20% - Accent3 7 6" xfId="1452"/>
    <cellStyle name="20% - Accent3 7 6 2" xfId="12495"/>
    <cellStyle name="20% - Accent3 7 6 2 2" xfId="26207"/>
    <cellStyle name="20% - Accent3 7 6 3" xfId="18775"/>
    <cellStyle name="20% - Accent3 7 7" xfId="1453"/>
    <cellStyle name="20% - Accent3 7 7 2" xfId="13525"/>
    <cellStyle name="20% - Accent3 7 7 2 2" xfId="27074"/>
    <cellStyle name="20% - Accent3 7 7 3" xfId="18776"/>
    <cellStyle name="20% - Accent3 7 8" xfId="1454"/>
    <cellStyle name="20% - Accent3 7 8 2" xfId="14106"/>
    <cellStyle name="20% - Accent3 7 8 2 2" xfId="27655"/>
    <cellStyle name="20% - Accent3 7 8 3" xfId="18777"/>
    <cellStyle name="20% - Accent3 7 9" xfId="1455"/>
    <cellStyle name="20% - Accent3 7 9 2" xfId="14839"/>
    <cellStyle name="20% - Accent3 7 9 2 2" xfId="28388"/>
    <cellStyle name="20% - Accent3 7 9 3" xfId="18778"/>
    <cellStyle name="20% - Accent3 8" xfId="1456"/>
    <cellStyle name="20% - Accent3 8 10" xfId="9027"/>
    <cellStyle name="20% - Accent3 8 10 2" xfId="23502"/>
    <cellStyle name="20% - Accent3 8 11" xfId="18779"/>
    <cellStyle name="20% - Accent3 8 2" xfId="1457"/>
    <cellStyle name="20% - Accent3 8 2 2" xfId="1458"/>
    <cellStyle name="20% - Accent3 8 2 2 2" xfId="10753"/>
    <cellStyle name="20% - Accent3 8 2 2 2 2" xfId="24695"/>
    <cellStyle name="20% - Accent3 8 2 2 3" xfId="18781"/>
    <cellStyle name="20% - Accent3 8 2 3" xfId="1459"/>
    <cellStyle name="20% - Accent3 8 2 3 2" xfId="12111"/>
    <cellStyle name="20% - Accent3 8 2 3 2 2" xfId="25823"/>
    <cellStyle name="20% - Accent3 8 2 3 3" xfId="18782"/>
    <cellStyle name="20% - Accent3 8 2 4" xfId="1460"/>
    <cellStyle name="20% - Accent3 8 2 4 2" xfId="14846"/>
    <cellStyle name="20% - Accent3 8 2 4 2 2" xfId="28395"/>
    <cellStyle name="20% - Accent3 8 2 4 3" xfId="18783"/>
    <cellStyle name="20% - Accent3 8 2 5" xfId="1461"/>
    <cellStyle name="20% - Accent3 8 2 5 2" xfId="16714"/>
    <cellStyle name="20% - Accent3 8 2 5 2 2" xfId="30121"/>
    <cellStyle name="20% - Accent3 8 2 5 3" xfId="18784"/>
    <cellStyle name="20% - Accent3 8 2 6" xfId="9028"/>
    <cellStyle name="20% - Accent3 8 2 6 2" xfId="23503"/>
    <cellStyle name="20% - Accent3 8 2 7" xfId="18780"/>
    <cellStyle name="20% - Accent3 8 3" xfId="1462"/>
    <cellStyle name="20% - Accent3 8 3 2" xfId="1463"/>
    <cellStyle name="20% - Accent3 8 3 2 2" xfId="14847"/>
    <cellStyle name="20% - Accent3 8 3 2 2 2" xfId="28396"/>
    <cellStyle name="20% - Accent3 8 3 2 3" xfId="18786"/>
    <cellStyle name="20% - Accent3 8 3 3" xfId="10752"/>
    <cellStyle name="20% - Accent3 8 3 3 2" xfId="24694"/>
    <cellStyle name="20% - Accent3 8 3 4" xfId="18785"/>
    <cellStyle name="20% - Accent3 8 4" xfId="1464"/>
    <cellStyle name="20% - Accent3 8 4 2" xfId="12092"/>
    <cellStyle name="20% - Accent3 8 4 2 2" xfId="25806"/>
    <cellStyle name="20% - Accent3 8 4 3" xfId="18787"/>
    <cellStyle name="20% - Accent3 8 5" xfId="1465"/>
    <cellStyle name="20% - Accent3 8 5 2" xfId="12107"/>
    <cellStyle name="20% - Accent3 8 5 2 2" xfId="25819"/>
    <cellStyle name="20% - Accent3 8 5 3" xfId="18788"/>
    <cellStyle name="20% - Accent3 8 6" xfId="1466"/>
    <cellStyle name="20% - Accent3 8 6 2" xfId="13666"/>
    <cellStyle name="20% - Accent3 8 6 2 2" xfId="27215"/>
    <cellStyle name="20% - Accent3 8 6 3" xfId="18789"/>
    <cellStyle name="20% - Accent3 8 7" xfId="1467"/>
    <cellStyle name="20% - Accent3 8 7 2" xfId="14247"/>
    <cellStyle name="20% - Accent3 8 7 2 2" xfId="27796"/>
    <cellStyle name="20% - Accent3 8 7 3" xfId="18790"/>
    <cellStyle name="20% - Accent3 8 8" xfId="1468"/>
    <cellStyle name="20% - Accent3 8 8 2" xfId="14845"/>
    <cellStyle name="20% - Accent3 8 8 2 2" xfId="28394"/>
    <cellStyle name="20% - Accent3 8 8 3" xfId="18791"/>
    <cellStyle name="20% - Accent3 8 9" xfId="1469"/>
    <cellStyle name="20% - Accent3 8 9 2" xfId="16133"/>
    <cellStyle name="20% - Accent3 8 9 2 2" xfId="29540"/>
    <cellStyle name="20% - Accent3 8 9 3" xfId="18792"/>
    <cellStyle name="20% - Accent3 9" xfId="1470"/>
    <cellStyle name="20% - Accent3 9 2" xfId="1471"/>
    <cellStyle name="20% - Accent3 9 2 2" xfId="10754"/>
    <cellStyle name="20% - Accent3 9 2 2 2" xfId="24696"/>
    <cellStyle name="20% - Accent3 9 2 3" xfId="18794"/>
    <cellStyle name="20% - Accent3 9 3" xfId="1472"/>
    <cellStyle name="20% - Accent3 9 3 2" xfId="11761"/>
    <cellStyle name="20% - Accent3 9 3 2 2" xfId="25476"/>
    <cellStyle name="20% - Accent3 9 3 3" xfId="18795"/>
    <cellStyle name="20% - Accent3 9 4" xfId="1473"/>
    <cellStyle name="20% - Accent3 9 4 2" xfId="14848"/>
    <cellStyle name="20% - Accent3 9 4 2 2" xfId="28397"/>
    <cellStyle name="20% - Accent3 9 4 3" xfId="18796"/>
    <cellStyle name="20% - Accent3 9 5" xfId="1474"/>
    <cellStyle name="20% - Accent3 9 5 2" xfId="17098"/>
    <cellStyle name="20% - Accent3 9 5 2 2" xfId="30457"/>
    <cellStyle name="20% - Accent3 9 5 3" xfId="18797"/>
    <cellStyle name="20% - Accent3 9 6" xfId="9029"/>
    <cellStyle name="20% - Accent3 9 6 2" xfId="23504"/>
    <cellStyle name="20% - Accent3 9 7" xfId="18793"/>
    <cellStyle name="20% - Accent4" xfId="40" builtinId="42" customBuiltin="1"/>
    <cellStyle name="20% - Accent4 10" xfId="1475"/>
    <cellStyle name="20% - Accent4 10 2" xfId="1476"/>
    <cellStyle name="20% - Accent4 10 2 2" xfId="1477"/>
    <cellStyle name="20% - Accent4 10 2 2 2" xfId="12458"/>
    <cellStyle name="20% - Accent4 10 2 2 2 2" xfId="26170"/>
    <cellStyle name="20% - Accent4 10 2 2 3" xfId="18800"/>
    <cellStyle name="20% - Accent4 10 2 3" xfId="1478"/>
    <cellStyle name="20% - Accent4 10 2 3 2" xfId="14851"/>
    <cellStyle name="20% - Accent4 10 2 3 2 2" xfId="28400"/>
    <cellStyle name="20% - Accent4 10 2 3 3" xfId="18801"/>
    <cellStyle name="20% - Accent4 10 2 4" xfId="10756"/>
    <cellStyle name="20% - Accent4 10 2 4 2" xfId="24698"/>
    <cellStyle name="20% - Accent4 10 2 5" xfId="18799"/>
    <cellStyle name="20% - Accent4 10 3" xfId="1479"/>
    <cellStyle name="20% - Accent4 10 3 2" xfId="12697"/>
    <cellStyle name="20% - Accent4 10 3 2 2" xfId="26409"/>
    <cellStyle name="20% - Accent4 10 3 3" xfId="18802"/>
    <cellStyle name="20% - Accent4 10 4" xfId="1480"/>
    <cellStyle name="20% - Accent4 10 4 2" xfId="14850"/>
    <cellStyle name="20% - Accent4 10 4 2 2" xfId="28399"/>
    <cellStyle name="20% - Accent4 10 4 3" xfId="18803"/>
    <cellStyle name="20% - Accent4 10 5" xfId="1481"/>
    <cellStyle name="20% - Accent4 10 5 2" xfId="17188"/>
    <cellStyle name="20% - Accent4 10 5 2 2" xfId="30547"/>
    <cellStyle name="20% - Accent4 10 5 3" xfId="18804"/>
    <cellStyle name="20% - Accent4 10 6" xfId="9031"/>
    <cellStyle name="20% - Accent4 10 6 2" xfId="23506"/>
    <cellStyle name="20% - Accent4 10 7" xfId="18798"/>
    <cellStyle name="20% - Accent4 11" xfId="1482"/>
    <cellStyle name="20% - Accent4 11 2" xfId="1483"/>
    <cellStyle name="20% - Accent4 11 2 2" xfId="10757"/>
    <cellStyle name="20% - Accent4 11 2 2 2" xfId="24699"/>
    <cellStyle name="20% - Accent4 11 2 3" xfId="18806"/>
    <cellStyle name="20% - Accent4 11 3" xfId="1484"/>
    <cellStyle name="20% - Accent4 11 3 2" xfId="12588"/>
    <cellStyle name="20% - Accent4 11 3 2 2" xfId="26300"/>
    <cellStyle name="20% - Accent4 11 3 3" xfId="18807"/>
    <cellStyle name="20% - Accent4 11 4" xfId="1485"/>
    <cellStyle name="20% - Accent4 11 4 2" xfId="14852"/>
    <cellStyle name="20% - Accent4 11 4 2 2" xfId="28401"/>
    <cellStyle name="20% - Accent4 11 4 3" xfId="18808"/>
    <cellStyle name="20% - Accent4 11 5" xfId="1486"/>
    <cellStyle name="20% - Accent4 11 5 2" xfId="17277"/>
    <cellStyle name="20% - Accent4 11 5 2 2" xfId="30636"/>
    <cellStyle name="20% - Accent4 11 5 3" xfId="18809"/>
    <cellStyle name="20% - Accent4 11 6" xfId="9032"/>
    <cellStyle name="20% - Accent4 11 6 2" xfId="23507"/>
    <cellStyle name="20% - Accent4 11 7" xfId="18805"/>
    <cellStyle name="20% - Accent4 12" xfId="1487"/>
    <cellStyle name="20% - Accent4 12 2" xfId="1488"/>
    <cellStyle name="20% - Accent4 12 2 2" xfId="1489"/>
    <cellStyle name="20% - Accent4 12 2 2 2" xfId="10759"/>
    <cellStyle name="20% - Accent4 12 2 2 2 2" xfId="24701"/>
    <cellStyle name="20% - Accent4 12 2 2 3" xfId="18812"/>
    <cellStyle name="20% - Accent4 12 2 3" xfId="1490"/>
    <cellStyle name="20% - Accent4 12 2 3 2" xfId="12773"/>
    <cellStyle name="20% - Accent4 12 2 3 2 2" xfId="26485"/>
    <cellStyle name="20% - Accent4 12 2 3 3" xfId="18813"/>
    <cellStyle name="20% - Accent4 12 2 4" xfId="1491"/>
    <cellStyle name="20% - Accent4 12 2 4 2" xfId="14854"/>
    <cellStyle name="20% - Accent4 12 2 4 2 2" xfId="28403"/>
    <cellStyle name="20% - Accent4 12 2 4 3" xfId="18814"/>
    <cellStyle name="20% - Accent4 12 2 5" xfId="9034"/>
    <cellStyle name="20% - Accent4 12 2 5 2" xfId="23509"/>
    <cellStyle name="20% - Accent4 12 2 6" xfId="18811"/>
    <cellStyle name="20% - Accent4 12 3" xfId="1492"/>
    <cellStyle name="20% - Accent4 12 3 2" xfId="10758"/>
    <cellStyle name="20% - Accent4 12 3 2 2" xfId="24700"/>
    <cellStyle name="20% - Accent4 12 3 3" xfId="18815"/>
    <cellStyle name="20% - Accent4 12 4" xfId="1493"/>
    <cellStyle name="20% - Accent4 12 4 2" xfId="12465"/>
    <cellStyle name="20% - Accent4 12 4 2 2" xfId="26177"/>
    <cellStyle name="20% - Accent4 12 4 3" xfId="18816"/>
    <cellStyle name="20% - Accent4 12 5" xfId="1494"/>
    <cellStyle name="20% - Accent4 12 5 2" xfId="14853"/>
    <cellStyle name="20% - Accent4 12 5 2 2" xfId="28402"/>
    <cellStyle name="20% - Accent4 12 5 3" xfId="18817"/>
    <cellStyle name="20% - Accent4 12 6" xfId="1495"/>
    <cellStyle name="20% - Accent4 12 6 2" xfId="16429"/>
    <cellStyle name="20% - Accent4 12 6 2 2" xfId="29836"/>
    <cellStyle name="20% - Accent4 12 6 3" xfId="18818"/>
    <cellStyle name="20% - Accent4 12 7" xfId="9033"/>
    <cellStyle name="20% - Accent4 12 7 2" xfId="23508"/>
    <cellStyle name="20% - Accent4 12 8" xfId="18810"/>
    <cellStyle name="20% - Accent4 13" xfId="1496"/>
    <cellStyle name="20% - Accent4 13 2" xfId="1497"/>
    <cellStyle name="20% - Accent4 13 2 2" xfId="10760"/>
    <cellStyle name="20% - Accent4 13 2 2 2" xfId="24702"/>
    <cellStyle name="20% - Accent4 13 2 3" xfId="18820"/>
    <cellStyle name="20% - Accent4 13 3" xfId="1498"/>
    <cellStyle name="20% - Accent4 13 3 2" xfId="12484"/>
    <cellStyle name="20% - Accent4 13 3 2 2" xfId="26196"/>
    <cellStyle name="20% - Accent4 13 3 3" xfId="18821"/>
    <cellStyle name="20% - Accent4 13 4" xfId="1499"/>
    <cellStyle name="20% - Accent4 13 4 2" xfId="14855"/>
    <cellStyle name="20% - Accent4 13 4 2 2" xfId="28404"/>
    <cellStyle name="20% - Accent4 13 4 3" xfId="18822"/>
    <cellStyle name="20% - Accent4 13 5" xfId="9035"/>
    <cellStyle name="20% - Accent4 13 5 2" xfId="23510"/>
    <cellStyle name="20% - Accent4 13 6" xfId="18819"/>
    <cellStyle name="20% - Accent4 14" xfId="1500"/>
    <cellStyle name="20% - Accent4 14 2" xfId="1501"/>
    <cellStyle name="20% - Accent4 14 2 2" xfId="10761"/>
    <cellStyle name="20% - Accent4 14 2 2 2" xfId="24703"/>
    <cellStyle name="20% - Accent4 14 2 3" xfId="18824"/>
    <cellStyle name="20% - Accent4 14 3" xfId="1502"/>
    <cellStyle name="20% - Accent4 14 3 2" xfId="12575"/>
    <cellStyle name="20% - Accent4 14 3 2 2" xfId="26287"/>
    <cellStyle name="20% - Accent4 14 3 3" xfId="18825"/>
    <cellStyle name="20% - Accent4 14 4" xfId="1503"/>
    <cellStyle name="20% - Accent4 14 4 2" xfId="14856"/>
    <cellStyle name="20% - Accent4 14 4 2 2" xfId="28405"/>
    <cellStyle name="20% - Accent4 14 4 3" xfId="18826"/>
    <cellStyle name="20% - Accent4 14 5" xfId="9036"/>
    <cellStyle name="20% - Accent4 14 5 2" xfId="23511"/>
    <cellStyle name="20% - Accent4 14 6" xfId="18823"/>
    <cellStyle name="20% - Accent4 15" xfId="1504"/>
    <cellStyle name="20% - Accent4 15 2" xfId="1505"/>
    <cellStyle name="20% - Accent4 15 2 2" xfId="10762"/>
    <cellStyle name="20% - Accent4 15 2 2 2" xfId="24704"/>
    <cellStyle name="20% - Accent4 15 2 3" xfId="18828"/>
    <cellStyle name="20% - Accent4 15 3" xfId="1506"/>
    <cellStyle name="20% - Accent4 15 3 2" xfId="12491"/>
    <cellStyle name="20% - Accent4 15 3 2 2" xfId="26203"/>
    <cellStyle name="20% - Accent4 15 3 3" xfId="18829"/>
    <cellStyle name="20% - Accent4 15 4" xfId="1507"/>
    <cellStyle name="20% - Accent4 15 4 2" xfId="14857"/>
    <cellStyle name="20% - Accent4 15 4 2 2" xfId="28406"/>
    <cellStyle name="20% - Accent4 15 4 3" xfId="18830"/>
    <cellStyle name="20% - Accent4 15 5" xfId="9037"/>
    <cellStyle name="20% - Accent4 15 5 2" xfId="23512"/>
    <cellStyle name="20% - Accent4 15 6" xfId="18827"/>
    <cellStyle name="20% - Accent4 16" xfId="1508"/>
    <cellStyle name="20% - Accent4 16 2" xfId="1509"/>
    <cellStyle name="20% - Accent4 16 2 2" xfId="10763"/>
    <cellStyle name="20% - Accent4 16 2 2 2" xfId="24705"/>
    <cellStyle name="20% - Accent4 16 2 3" xfId="18832"/>
    <cellStyle name="20% - Accent4 16 3" xfId="1510"/>
    <cellStyle name="20% - Accent4 16 3 2" xfId="12741"/>
    <cellStyle name="20% - Accent4 16 3 2 2" xfId="26453"/>
    <cellStyle name="20% - Accent4 16 3 3" xfId="18833"/>
    <cellStyle name="20% - Accent4 16 4" xfId="1511"/>
    <cellStyle name="20% - Accent4 16 4 2" xfId="14858"/>
    <cellStyle name="20% - Accent4 16 4 2 2" xfId="28407"/>
    <cellStyle name="20% - Accent4 16 4 3" xfId="18834"/>
    <cellStyle name="20% - Accent4 16 5" xfId="9038"/>
    <cellStyle name="20% - Accent4 16 5 2" xfId="23513"/>
    <cellStyle name="20% - Accent4 16 6" xfId="18831"/>
    <cellStyle name="20% - Accent4 17" xfId="1512"/>
    <cellStyle name="20% - Accent4 17 2" xfId="1513"/>
    <cellStyle name="20% - Accent4 17 2 2" xfId="10764"/>
    <cellStyle name="20% - Accent4 17 2 2 2" xfId="24706"/>
    <cellStyle name="20% - Accent4 17 2 3" xfId="18836"/>
    <cellStyle name="20% - Accent4 17 3" xfId="1514"/>
    <cellStyle name="20% - Accent4 17 3 2" xfId="12779"/>
    <cellStyle name="20% - Accent4 17 3 2 2" xfId="26491"/>
    <cellStyle name="20% - Accent4 17 3 3" xfId="18837"/>
    <cellStyle name="20% - Accent4 17 4" xfId="1515"/>
    <cellStyle name="20% - Accent4 17 4 2" xfId="14859"/>
    <cellStyle name="20% - Accent4 17 4 2 2" xfId="28408"/>
    <cellStyle name="20% - Accent4 17 4 3" xfId="18838"/>
    <cellStyle name="20% - Accent4 17 5" xfId="9039"/>
    <cellStyle name="20% - Accent4 17 5 2" xfId="23514"/>
    <cellStyle name="20% - Accent4 17 6" xfId="18835"/>
    <cellStyle name="20% - Accent4 18" xfId="1516"/>
    <cellStyle name="20% - Accent4 18 2" xfId="1517"/>
    <cellStyle name="20% - Accent4 18 2 2" xfId="10765"/>
    <cellStyle name="20% - Accent4 18 2 2 2" xfId="24707"/>
    <cellStyle name="20% - Accent4 18 2 3" xfId="18840"/>
    <cellStyle name="20% - Accent4 18 3" xfId="1518"/>
    <cellStyle name="20% - Accent4 18 3 2" xfId="12490"/>
    <cellStyle name="20% - Accent4 18 3 2 2" xfId="26202"/>
    <cellStyle name="20% - Accent4 18 3 3" xfId="18841"/>
    <cellStyle name="20% - Accent4 18 4" xfId="1519"/>
    <cellStyle name="20% - Accent4 18 4 2" xfId="14860"/>
    <cellStyle name="20% - Accent4 18 4 2 2" xfId="28409"/>
    <cellStyle name="20% - Accent4 18 4 3" xfId="18842"/>
    <cellStyle name="20% - Accent4 18 5" xfId="9040"/>
    <cellStyle name="20% - Accent4 18 5 2" xfId="23515"/>
    <cellStyle name="20% - Accent4 18 6" xfId="18839"/>
    <cellStyle name="20% - Accent4 19" xfId="1520"/>
    <cellStyle name="20% - Accent4 19 2" xfId="1521"/>
    <cellStyle name="20% - Accent4 19 2 2" xfId="11713"/>
    <cellStyle name="20% - Accent4 19 2 2 2" xfId="25433"/>
    <cellStyle name="20% - Accent4 19 2 3" xfId="18844"/>
    <cellStyle name="20% - Accent4 19 3" xfId="1522"/>
    <cellStyle name="20% - Accent4 19 3 2" xfId="12450"/>
    <cellStyle name="20% - Accent4 19 3 2 2" xfId="26162"/>
    <cellStyle name="20% - Accent4 19 3 3" xfId="18845"/>
    <cellStyle name="20% - Accent4 19 4" xfId="1523"/>
    <cellStyle name="20% - Accent4 19 4 2" xfId="14861"/>
    <cellStyle name="20% - Accent4 19 4 2 2" xfId="28410"/>
    <cellStyle name="20% - Accent4 19 4 3" xfId="18846"/>
    <cellStyle name="20% - Accent4 19 5" xfId="10465"/>
    <cellStyle name="20% - Accent4 19 5 2" xfId="24424"/>
    <cellStyle name="20% - Accent4 19 6" xfId="18843"/>
    <cellStyle name="20% - Accent4 2" xfId="1524"/>
    <cellStyle name="20% - Accent4 2 10" xfId="1525"/>
    <cellStyle name="20% - Accent4 2 10 2" xfId="1526"/>
    <cellStyle name="20% - Accent4 2 10 2 2" xfId="14863"/>
    <cellStyle name="20% - Accent4 2 10 2 2 2" xfId="28412"/>
    <cellStyle name="20% - Accent4 2 10 2 3" xfId="18849"/>
    <cellStyle name="20% - Accent4 2 10 3" xfId="11842"/>
    <cellStyle name="20% - Accent4 2 10 3 2" xfId="25557"/>
    <cellStyle name="20% - Accent4 2 10 4" xfId="18848"/>
    <cellStyle name="20% - Accent4 2 11" xfId="1527"/>
    <cellStyle name="20% - Accent4 2 11 2" xfId="12543"/>
    <cellStyle name="20% - Accent4 2 11 2 2" xfId="26255"/>
    <cellStyle name="20% - Accent4 2 11 3" xfId="18850"/>
    <cellStyle name="20% - Accent4 2 12" xfId="1528"/>
    <cellStyle name="20% - Accent4 2 12 2" xfId="13441"/>
    <cellStyle name="20% - Accent4 2 12 2 2" xfId="26990"/>
    <cellStyle name="20% - Accent4 2 12 3" xfId="18851"/>
    <cellStyle name="20% - Accent4 2 13" xfId="1529"/>
    <cellStyle name="20% - Accent4 2 13 2" xfId="14022"/>
    <cellStyle name="20% - Accent4 2 13 2 2" xfId="27571"/>
    <cellStyle name="20% - Accent4 2 13 3" xfId="18852"/>
    <cellStyle name="20% - Accent4 2 14" xfId="1530"/>
    <cellStyle name="20% - Accent4 2 14 2" xfId="14862"/>
    <cellStyle name="20% - Accent4 2 14 2 2" xfId="28411"/>
    <cellStyle name="20% - Accent4 2 14 3" xfId="18853"/>
    <cellStyle name="20% - Accent4 2 15" xfId="1531"/>
    <cellStyle name="20% - Accent4 2 15 2" xfId="15908"/>
    <cellStyle name="20% - Accent4 2 15 2 2" xfId="29315"/>
    <cellStyle name="20% - Accent4 2 15 3" xfId="18854"/>
    <cellStyle name="20% - Accent4 2 16" xfId="9041"/>
    <cellStyle name="20% - Accent4 2 16 2" xfId="23516"/>
    <cellStyle name="20% - Accent4 2 17" xfId="18847"/>
    <cellStyle name="20% - Accent4 2 18" xfId="33074"/>
    <cellStyle name="20% - Accent4 2 2" xfId="1532"/>
    <cellStyle name="20% - Accent4 2 2 10" xfId="1533"/>
    <cellStyle name="20% - Accent4 2 2 10 2" xfId="14864"/>
    <cellStyle name="20% - Accent4 2 2 10 2 2" xfId="28413"/>
    <cellStyle name="20% - Accent4 2 2 10 3" xfId="18856"/>
    <cellStyle name="20% - Accent4 2 2 11" xfId="1534"/>
    <cellStyle name="20% - Accent4 2 2 11 2" xfId="15954"/>
    <cellStyle name="20% - Accent4 2 2 11 2 2" xfId="29361"/>
    <cellStyle name="20% - Accent4 2 2 11 3" xfId="18857"/>
    <cellStyle name="20% - Accent4 2 2 12" xfId="9042"/>
    <cellStyle name="20% - Accent4 2 2 12 2" xfId="23517"/>
    <cellStyle name="20% - Accent4 2 2 13" xfId="18855"/>
    <cellStyle name="20% - Accent4 2 2 2" xfId="1535"/>
    <cellStyle name="20% - Accent4 2 2 2 10" xfId="1536"/>
    <cellStyle name="20% - Accent4 2 2 2 10 2" xfId="16097"/>
    <cellStyle name="20% - Accent4 2 2 2 10 2 2" xfId="29504"/>
    <cellStyle name="20% - Accent4 2 2 2 10 3" xfId="18859"/>
    <cellStyle name="20% - Accent4 2 2 2 11" xfId="9043"/>
    <cellStyle name="20% - Accent4 2 2 2 11 2" xfId="23518"/>
    <cellStyle name="20% - Accent4 2 2 2 12" xfId="18858"/>
    <cellStyle name="20% - Accent4 2 2 2 2" xfId="1537"/>
    <cellStyle name="20% - Accent4 2 2 2 2 10" xfId="9044"/>
    <cellStyle name="20% - Accent4 2 2 2 2 10 2" xfId="23519"/>
    <cellStyle name="20% - Accent4 2 2 2 2 11" xfId="18860"/>
    <cellStyle name="20% - Accent4 2 2 2 2 2" xfId="1538"/>
    <cellStyle name="20% - Accent4 2 2 2 2 2 2" xfId="1539"/>
    <cellStyle name="20% - Accent4 2 2 2 2 2 2 2" xfId="10770"/>
    <cellStyle name="20% - Accent4 2 2 2 2 2 2 2 2" xfId="24712"/>
    <cellStyle name="20% - Accent4 2 2 2 2 2 2 3" xfId="18862"/>
    <cellStyle name="20% - Accent4 2 2 2 2 2 3" xfId="1540"/>
    <cellStyle name="20% - Accent4 2 2 2 2 2 3 2" xfId="12623"/>
    <cellStyle name="20% - Accent4 2 2 2 2 2 3 2 2" xfId="26335"/>
    <cellStyle name="20% - Accent4 2 2 2 2 2 3 3" xfId="18863"/>
    <cellStyle name="20% - Accent4 2 2 2 2 2 4" xfId="1541"/>
    <cellStyle name="20% - Accent4 2 2 2 2 2 4 2" xfId="14867"/>
    <cellStyle name="20% - Accent4 2 2 2 2 2 4 2 2" xfId="28416"/>
    <cellStyle name="20% - Accent4 2 2 2 2 2 4 3" xfId="18864"/>
    <cellStyle name="20% - Accent4 2 2 2 2 2 5" xfId="1542"/>
    <cellStyle name="20% - Accent4 2 2 2 2 2 5 2" xfId="16967"/>
    <cellStyle name="20% - Accent4 2 2 2 2 2 5 2 2" xfId="30374"/>
    <cellStyle name="20% - Accent4 2 2 2 2 2 5 3" xfId="18865"/>
    <cellStyle name="20% - Accent4 2 2 2 2 2 6" xfId="9045"/>
    <cellStyle name="20% - Accent4 2 2 2 2 2 6 2" xfId="23520"/>
    <cellStyle name="20% - Accent4 2 2 2 2 2 7" xfId="18861"/>
    <cellStyle name="20% - Accent4 2 2 2 2 3" xfId="1543"/>
    <cellStyle name="20% - Accent4 2 2 2 2 3 2" xfId="1544"/>
    <cellStyle name="20% - Accent4 2 2 2 2 3 2 2" xfId="14868"/>
    <cellStyle name="20% - Accent4 2 2 2 2 3 2 2 2" xfId="28417"/>
    <cellStyle name="20% - Accent4 2 2 2 2 3 2 3" xfId="18867"/>
    <cellStyle name="20% - Accent4 2 2 2 2 3 3" xfId="10769"/>
    <cellStyle name="20% - Accent4 2 2 2 2 3 3 2" xfId="24711"/>
    <cellStyle name="20% - Accent4 2 2 2 2 3 4" xfId="18866"/>
    <cellStyle name="20% - Accent4 2 2 2 2 4" xfId="1545"/>
    <cellStyle name="20% - Accent4 2 2 2 2 4 2" xfId="12355"/>
    <cellStyle name="20% - Accent4 2 2 2 2 4 2 2" xfId="26067"/>
    <cellStyle name="20% - Accent4 2 2 2 2 4 3" xfId="18868"/>
    <cellStyle name="20% - Accent4 2 2 2 2 5" xfId="1546"/>
    <cellStyle name="20% - Accent4 2 2 2 2 5 2" xfId="11850"/>
    <cellStyle name="20% - Accent4 2 2 2 2 5 2 2" xfId="25565"/>
    <cellStyle name="20% - Accent4 2 2 2 2 5 3" xfId="18869"/>
    <cellStyle name="20% - Accent4 2 2 2 2 6" xfId="1547"/>
    <cellStyle name="20% - Accent4 2 2 2 2 6 2" xfId="13919"/>
    <cellStyle name="20% - Accent4 2 2 2 2 6 2 2" xfId="27468"/>
    <cellStyle name="20% - Accent4 2 2 2 2 6 3" xfId="18870"/>
    <cellStyle name="20% - Accent4 2 2 2 2 7" xfId="1548"/>
    <cellStyle name="20% - Accent4 2 2 2 2 7 2" xfId="14500"/>
    <cellStyle name="20% - Accent4 2 2 2 2 7 2 2" xfId="28049"/>
    <cellStyle name="20% - Accent4 2 2 2 2 7 3" xfId="18871"/>
    <cellStyle name="20% - Accent4 2 2 2 2 8" xfId="1549"/>
    <cellStyle name="20% - Accent4 2 2 2 2 8 2" xfId="14866"/>
    <cellStyle name="20% - Accent4 2 2 2 2 8 2 2" xfId="28415"/>
    <cellStyle name="20% - Accent4 2 2 2 2 8 3" xfId="18872"/>
    <cellStyle name="20% - Accent4 2 2 2 2 9" xfId="1550"/>
    <cellStyle name="20% - Accent4 2 2 2 2 9 2" xfId="16386"/>
    <cellStyle name="20% - Accent4 2 2 2 2 9 2 2" xfId="29793"/>
    <cellStyle name="20% - Accent4 2 2 2 2 9 3" xfId="18873"/>
    <cellStyle name="20% - Accent4 2 2 2 3" xfId="1551"/>
    <cellStyle name="20% - Accent4 2 2 2 3 2" xfId="1552"/>
    <cellStyle name="20% - Accent4 2 2 2 3 2 2" xfId="10771"/>
    <cellStyle name="20% - Accent4 2 2 2 3 2 2 2" xfId="24713"/>
    <cellStyle name="20% - Accent4 2 2 2 3 2 3" xfId="18875"/>
    <cellStyle name="20% - Accent4 2 2 2 3 3" xfId="1553"/>
    <cellStyle name="20% - Accent4 2 2 2 3 3 2" xfId="11754"/>
    <cellStyle name="20% - Accent4 2 2 2 3 3 2 2" xfId="25469"/>
    <cellStyle name="20% - Accent4 2 2 2 3 3 3" xfId="18876"/>
    <cellStyle name="20% - Accent4 2 2 2 3 4" xfId="1554"/>
    <cellStyle name="20% - Accent4 2 2 2 3 4 2" xfId="14869"/>
    <cellStyle name="20% - Accent4 2 2 2 3 4 2 2" xfId="28418"/>
    <cellStyle name="20% - Accent4 2 2 2 3 4 3" xfId="18877"/>
    <cellStyle name="20% - Accent4 2 2 2 3 5" xfId="1555"/>
    <cellStyle name="20% - Accent4 2 2 2 3 5 2" xfId="16678"/>
    <cellStyle name="20% - Accent4 2 2 2 3 5 2 2" xfId="30085"/>
    <cellStyle name="20% - Accent4 2 2 2 3 5 3" xfId="18878"/>
    <cellStyle name="20% - Accent4 2 2 2 3 6" xfId="9046"/>
    <cellStyle name="20% - Accent4 2 2 2 3 6 2" xfId="23521"/>
    <cellStyle name="20% - Accent4 2 2 2 3 7" xfId="18874"/>
    <cellStyle name="20% - Accent4 2 2 2 4" xfId="1556"/>
    <cellStyle name="20% - Accent4 2 2 2 4 2" xfId="1557"/>
    <cellStyle name="20% - Accent4 2 2 2 4 2 2" xfId="14870"/>
    <cellStyle name="20% - Accent4 2 2 2 4 2 2 2" xfId="28419"/>
    <cellStyle name="20% - Accent4 2 2 2 4 2 3" xfId="18880"/>
    <cellStyle name="20% - Accent4 2 2 2 4 3" xfId="10768"/>
    <cellStyle name="20% - Accent4 2 2 2 4 3 2" xfId="24710"/>
    <cellStyle name="20% - Accent4 2 2 2 4 4" xfId="18879"/>
    <cellStyle name="20% - Accent4 2 2 2 5" xfId="1558"/>
    <cellStyle name="20% - Accent4 2 2 2 5 2" xfId="12055"/>
    <cellStyle name="20% - Accent4 2 2 2 5 2 2" xfId="25770"/>
    <cellStyle name="20% - Accent4 2 2 2 5 3" xfId="18881"/>
    <cellStyle name="20% - Accent4 2 2 2 6" xfId="1559"/>
    <cellStyle name="20% - Accent4 2 2 2 6 2" xfId="12488"/>
    <cellStyle name="20% - Accent4 2 2 2 6 2 2" xfId="26200"/>
    <cellStyle name="20% - Accent4 2 2 2 6 3" xfId="18882"/>
    <cellStyle name="20% - Accent4 2 2 2 7" xfId="1560"/>
    <cellStyle name="20% - Accent4 2 2 2 7 2" xfId="13630"/>
    <cellStyle name="20% - Accent4 2 2 2 7 2 2" xfId="27179"/>
    <cellStyle name="20% - Accent4 2 2 2 7 3" xfId="18883"/>
    <cellStyle name="20% - Accent4 2 2 2 8" xfId="1561"/>
    <cellStyle name="20% - Accent4 2 2 2 8 2" xfId="14211"/>
    <cellStyle name="20% - Accent4 2 2 2 8 2 2" xfId="27760"/>
    <cellStyle name="20% - Accent4 2 2 2 8 3" xfId="18884"/>
    <cellStyle name="20% - Accent4 2 2 2 9" xfId="1562"/>
    <cellStyle name="20% - Accent4 2 2 2 9 2" xfId="14865"/>
    <cellStyle name="20% - Accent4 2 2 2 9 2 2" xfId="28414"/>
    <cellStyle name="20% - Accent4 2 2 2 9 3" xfId="18885"/>
    <cellStyle name="20% - Accent4 2 2 3" xfId="1563"/>
    <cellStyle name="20% - Accent4 2 2 3 10" xfId="9047"/>
    <cellStyle name="20% - Accent4 2 2 3 10 2" xfId="23522"/>
    <cellStyle name="20% - Accent4 2 2 3 11" xfId="18886"/>
    <cellStyle name="20% - Accent4 2 2 3 2" xfId="1564"/>
    <cellStyle name="20% - Accent4 2 2 3 2 2" xfId="1565"/>
    <cellStyle name="20% - Accent4 2 2 3 2 2 2" xfId="10773"/>
    <cellStyle name="20% - Accent4 2 2 3 2 2 2 2" xfId="24715"/>
    <cellStyle name="20% - Accent4 2 2 3 2 2 3" xfId="18888"/>
    <cellStyle name="20% - Accent4 2 2 3 2 3" xfId="1566"/>
    <cellStyle name="20% - Accent4 2 2 3 2 3 2" xfId="11775"/>
    <cellStyle name="20% - Accent4 2 2 3 2 3 2 2" xfId="25490"/>
    <cellStyle name="20% - Accent4 2 2 3 2 3 3" xfId="18889"/>
    <cellStyle name="20% - Accent4 2 2 3 2 4" xfId="1567"/>
    <cellStyle name="20% - Accent4 2 2 3 2 4 2" xfId="14872"/>
    <cellStyle name="20% - Accent4 2 2 3 2 4 2 2" xfId="28421"/>
    <cellStyle name="20% - Accent4 2 2 3 2 4 3" xfId="18890"/>
    <cellStyle name="20% - Accent4 2 2 3 2 5" xfId="1568"/>
    <cellStyle name="20% - Accent4 2 2 3 2 5 2" xfId="16824"/>
    <cellStyle name="20% - Accent4 2 2 3 2 5 2 2" xfId="30231"/>
    <cellStyle name="20% - Accent4 2 2 3 2 5 3" xfId="18891"/>
    <cellStyle name="20% - Accent4 2 2 3 2 6" xfId="9048"/>
    <cellStyle name="20% - Accent4 2 2 3 2 6 2" xfId="23523"/>
    <cellStyle name="20% - Accent4 2 2 3 2 7" xfId="18887"/>
    <cellStyle name="20% - Accent4 2 2 3 3" xfId="1569"/>
    <cellStyle name="20% - Accent4 2 2 3 3 2" xfId="1570"/>
    <cellStyle name="20% - Accent4 2 2 3 3 2 2" xfId="14873"/>
    <cellStyle name="20% - Accent4 2 2 3 3 2 2 2" xfId="28422"/>
    <cellStyle name="20% - Accent4 2 2 3 3 2 3" xfId="18893"/>
    <cellStyle name="20% - Accent4 2 2 3 3 3" xfId="10772"/>
    <cellStyle name="20% - Accent4 2 2 3 3 3 2" xfId="24714"/>
    <cellStyle name="20% - Accent4 2 2 3 3 4" xfId="18892"/>
    <cellStyle name="20% - Accent4 2 2 3 4" xfId="1571"/>
    <cellStyle name="20% - Accent4 2 2 3 4 2" xfId="12212"/>
    <cellStyle name="20% - Accent4 2 2 3 4 2 2" xfId="25924"/>
    <cellStyle name="20% - Accent4 2 2 3 4 3" xfId="18894"/>
    <cellStyle name="20% - Accent4 2 2 3 5" xfId="1572"/>
    <cellStyle name="20% - Accent4 2 2 3 5 2" xfId="12535"/>
    <cellStyle name="20% - Accent4 2 2 3 5 2 2" xfId="26247"/>
    <cellStyle name="20% - Accent4 2 2 3 5 3" xfId="18895"/>
    <cellStyle name="20% - Accent4 2 2 3 6" xfId="1573"/>
    <cellStyle name="20% - Accent4 2 2 3 6 2" xfId="13776"/>
    <cellStyle name="20% - Accent4 2 2 3 6 2 2" xfId="27325"/>
    <cellStyle name="20% - Accent4 2 2 3 6 3" xfId="18896"/>
    <cellStyle name="20% - Accent4 2 2 3 7" xfId="1574"/>
    <cellStyle name="20% - Accent4 2 2 3 7 2" xfId="14357"/>
    <cellStyle name="20% - Accent4 2 2 3 7 2 2" xfId="27906"/>
    <cellStyle name="20% - Accent4 2 2 3 7 3" xfId="18897"/>
    <cellStyle name="20% - Accent4 2 2 3 8" xfId="1575"/>
    <cellStyle name="20% - Accent4 2 2 3 8 2" xfId="14871"/>
    <cellStyle name="20% - Accent4 2 2 3 8 2 2" xfId="28420"/>
    <cellStyle name="20% - Accent4 2 2 3 8 3" xfId="18898"/>
    <cellStyle name="20% - Accent4 2 2 3 9" xfId="1576"/>
    <cellStyle name="20% - Accent4 2 2 3 9 2" xfId="16243"/>
    <cellStyle name="20% - Accent4 2 2 3 9 2 2" xfId="29650"/>
    <cellStyle name="20% - Accent4 2 2 3 9 3" xfId="18899"/>
    <cellStyle name="20% - Accent4 2 2 4" xfId="1577"/>
    <cellStyle name="20% - Accent4 2 2 4 2" xfId="1578"/>
    <cellStyle name="20% - Accent4 2 2 4 2 2" xfId="10774"/>
    <cellStyle name="20% - Accent4 2 2 4 2 2 2" xfId="24716"/>
    <cellStyle name="20% - Accent4 2 2 4 2 3" xfId="18901"/>
    <cellStyle name="20% - Accent4 2 2 4 3" xfId="1579"/>
    <cellStyle name="20% - Accent4 2 2 4 3 2" xfId="12747"/>
    <cellStyle name="20% - Accent4 2 2 4 3 2 2" xfId="26459"/>
    <cellStyle name="20% - Accent4 2 2 4 3 3" xfId="18902"/>
    <cellStyle name="20% - Accent4 2 2 4 4" xfId="1580"/>
    <cellStyle name="20% - Accent4 2 2 4 4 2" xfId="14874"/>
    <cellStyle name="20% - Accent4 2 2 4 4 2 2" xfId="28423"/>
    <cellStyle name="20% - Accent4 2 2 4 4 3" xfId="18903"/>
    <cellStyle name="20% - Accent4 2 2 4 5" xfId="1581"/>
    <cellStyle name="20% - Accent4 2 2 4 5 2" xfId="17171"/>
    <cellStyle name="20% - Accent4 2 2 4 5 2 2" xfId="30530"/>
    <cellStyle name="20% - Accent4 2 2 4 5 3" xfId="18904"/>
    <cellStyle name="20% - Accent4 2 2 4 6" xfId="9049"/>
    <cellStyle name="20% - Accent4 2 2 4 6 2" xfId="23524"/>
    <cellStyle name="20% - Accent4 2 2 4 7" xfId="18900"/>
    <cellStyle name="20% - Accent4 2 2 5" xfId="1582"/>
    <cellStyle name="20% - Accent4 2 2 5 2" xfId="1583"/>
    <cellStyle name="20% - Accent4 2 2 5 2 2" xfId="14875"/>
    <cellStyle name="20% - Accent4 2 2 5 2 2 2" xfId="28424"/>
    <cellStyle name="20% - Accent4 2 2 5 2 3" xfId="18906"/>
    <cellStyle name="20% - Accent4 2 2 5 3" xfId="1584"/>
    <cellStyle name="20% - Accent4 2 2 5 3 2" xfId="17260"/>
    <cellStyle name="20% - Accent4 2 2 5 3 2 2" xfId="30619"/>
    <cellStyle name="20% - Accent4 2 2 5 3 3" xfId="18907"/>
    <cellStyle name="20% - Accent4 2 2 5 4" xfId="10767"/>
    <cellStyle name="20% - Accent4 2 2 5 4 2" xfId="24709"/>
    <cellStyle name="20% - Accent4 2 2 5 5" xfId="18905"/>
    <cellStyle name="20% - Accent4 2 2 6" xfId="1585"/>
    <cellStyle name="20% - Accent4 2 2 6 2" xfId="1586"/>
    <cellStyle name="20% - Accent4 2 2 6 2 2" xfId="16535"/>
    <cellStyle name="20% - Accent4 2 2 6 2 2 2" xfId="29942"/>
    <cellStyle name="20% - Accent4 2 2 6 2 3" xfId="18909"/>
    <cellStyle name="20% - Accent4 2 2 6 3" xfId="11910"/>
    <cellStyle name="20% - Accent4 2 2 6 3 2" xfId="25625"/>
    <cellStyle name="20% - Accent4 2 2 6 4" xfId="18908"/>
    <cellStyle name="20% - Accent4 2 2 7" xfId="1587"/>
    <cellStyle name="20% - Accent4 2 2 7 2" xfId="12397"/>
    <cellStyle name="20% - Accent4 2 2 7 2 2" xfId="26109"/>
    <cellStyle name="20% - Accent4 2 2 7 3" xfId="18910"/>
    <cellStyle name="20% - Accent4 2 2 8" xfId="1588"/>
    <cellStyle name="20% - Accent4 2 2 8 2" xfId="13487"/>
    <cellStyle name="20% - Accent4 2 2 8 2 2" xfId="27036"/>
    <cellStyle name="20% - Accent4 2 2 8 3" xfId="18911"/>
    <cellStyle name="20% - Accent4 2 2 9" xfId="1589"/>
    <cellStyle name="20% - Accent4 2 2 9 2" xfId="14068"/>
    <cellStyle name="20% - Accent4 2 2 9 2 2" xfId="27617"/>
    <cellStyle name="20% - Accent4 2 2 9 3" xfId="18912"/>
    <cellStyle name="20% - Accent4 2 3" xfId="1590"/>
    <cellStyle name="20% - Accent4 2 3 10" xfId="1591"/>
    <cellStyle name="20% - Accent4 2 3 10 2" xfId="16051"/>
    <cellStyle name="20% - Accent4 2 3 10 2 2" xfId="29458"/>
    <cellStyle name="20% - Accent4 2 3 10 3" xfId="18914"/>
    <cellStyle name="20% - Accent4 2 3 11" xfId="9050"/>
    <cellStyle name="20% - Accent4 2 3 11 2" xfId="23525"/>
    <cellStyle name="20% - Accent4 2 3 12" xfId="18913"/>
    <cellStyle name="20% - Accent4 2 3 2" xfId="1592"/>
    <cellStyle name="20% - Accent4 2 3 2 10" xfId="9051"/>
    <cellStyle name="20% - Accent4 2 3 2 10 2" xfId="23526"/>
    <cellStyle name="20% - Accent4 2 3 2 11" xfId="18915"/>
    <cellStyle name="20% - Accent4 2 3 2 2" xfId="1593"/>
    <cellStyle name="20% - Accent4 2 3 2 2 2" xfId="1594"/>
    <cellStyle name="20% - Accent4 2 3 2 2 2 2" xfId="10777"/>
    <cellStyle name="20% - Accent4 2 3 2 2 2 2 2" xfId="24719"/>
    <cellStyle name="20% - Accent4 2 3 2 2 2 3" xfId="18917"/>
    <cellStyle name="20% - Accent4 2 3 2 2 3" xfId="1595"/>
    <cellStyle name="20% - Accent4 2 3 2 2 3 2" xfId="11769"/>
    <cellStyle name="20% - Accent4 2 3 2 2 3 2 2" xfId="25484"/>
    <cellStyle name="20% - Accent4 2 3 2 2 3 3" xfId="18918"/>
    <cellStyle name="20% - Accent4 2 3 2 2 4" xfId="1596"/>
    <cellStyle name="20% - Accent4 2 3 2 2 4 2" xfId="14878"/>
    <cellStyle name="20% - Accent4 2 3 2 2 4 2 2" xfId="28427"/>
    <cellStyle name="20% - Accent4 2 3 2 2 4 3" xfId="18919"/>
    <cellStyle name="20% - Accent4 2 3 2 2 5" xfId="1597"/>
    <cellStyle name="20% - Accent4 2 3 2 2 5 2" xfId="16921"/>
    <cellStyle name="20% - Accent4 2 3 2 2 5 2 2" xfId="30328"/>
    <cellStyle name="20% - Accent4 2 3 2 2 5 3" xfId="18920"/>
    <cellStyle name="20% - Accent4 2 3 2 2 6" xfId="9052"/>
    <cellStyle name="20% - Accent4 2 3 2 2 6 2" xfId="23527"/>
    <cellStyle name="20% - Accent4 2 3 2 2 7" xfId="18916"/>
    <cellStyle name="20% - Accent4 2 3 2 3" xfId="1598"/>
    <cellStyle name="20% - Accent4 2 3 2 3 2" xfId="1599"/>
    <cellStyle name="20% - Accent4 2 3 2 3 2 2" xfId="14879"/>
    <cellStyle name="20% - Accent4 2 3 2 3 2 2 2" xfId="28428"/>
    <cellStyle name="20% - Accent4 2 3 2 3 2 3" xfId="18922"/>
    <cellStyle name="20% - Accent4 2 3 2 3 3" xfId="10776"/>
    <cellStyle name="20% - Accent4 2 3 2 3 3 2" xfId="24718"/>
    <cellStyle name="20% - Accent4 2 3 2 3 4" xfId="18921"/>
    <cellStyle name="20% - Accent4 2 3 2 4" xfId="1600"/>
    <cellStyle name="20% - Accent4 2 3 2 4 2" xfId="12309"/>
    <cellStyle name="20% - Accent4 2 3 2 4 2 2" xfId="26021"/>
    <cellStyle name="20% - Accent4 2 3 2 4 3" xfId="18923"/>
    <cellStyle name="20% - Accent4 2 3 2 5" xfId="1601"/>
    <cellStyle name="20% - Accent4 2 3 2 5 2" xfId="12603"/>
    <cellStyle name="20% - Accent4 2 3 2 5 2 2" xfId="26315"/>
    <cellStyle name="20% - Accent4 2 3 2 5 3" xfId="18924"/>
    <cellStyle name="20% - Accent4 2 3 2 6" xfId="1602"/>
    <cellStyle name="20% - Accent4 2 3 2 6 2" xfId="13873"/>
    <cellStyle name="20% - Accent4 2 3 2 6 2 2" xfId="27422"/>
    <cellStyle name="20% - Accent4 2 3 2 6 3" xfId="18925"/>
    <cellStyle name="20% - Accent4 2 3 2 7" xfId="1603"/>
    <cellStyle name="20% - Accent4 2 3 2 7 2" xfId="14454"/>
    <cellStyle name="20% - Accent4 2 3 2 7 2 2" xfId="28003"/>
    <cellStyle name="20% - Accent4 2 3 2 7 3" xfId="18926"/>
    <cellStyle name="20% - Accent4 2 3 2 8" xfId="1604"/>
    <cellStyle name="20% - Accent4 2 3 2 8 2" xfId="14877"/>
    <cellStyle name="20% - Accent4 2 3 2 8 2 2" xfId="28426"/>
    <cellStyle name="20% - Accent4 2 3 2 8 3" xfId="18927"/>
    <cellStyle name="20% - Accent4 2 3 2 9" xfId="1605"/>
    <cellStyle name="20% - Accent4 2 3 2 9 2" xfId="16340"/>
    <cellStyle name="20% - Accent4 2 3 2 9 2 2" xfId="29747"/>
    <cellStyle name="20% - Accent4 2 3 2 9 3" xfId="18928"/>
    <cellStyle name="20% - Accent4 2 3 3" xfId="1606"/>
    <cellStyle name="20% - Accent4 2 3 3 2" xfId="1607"/>
    <cellStyle name="20% - Accent4 2 3 3 2 2" xfId="10778"/>
    <cellStyle name="20% - Accent4 2 3 3 2 2 2" xfId="24720"/>
    <cellStyle name="20% - Accent4 2 3 3 2 3" xfId="18930"/>
    <cellStyle name="20% - Accent4 2 3 3 3" xfId="1608"/>
    <cellStyle name="20% - Accent4 2 3 3 3 2" xfId="12502"/>
    <cellStyle name="20% - Accent4 2 3 3 3 2 2" xfId="26214"/>
    <cellStyle name="20% - Accent4 2 3 3 3 3" xfId="18931"/>
    <cellStyle name="20% - Accent4 2 3 3 4" xfId="1609"/>
    <cellStyle name="20% - Accent4 2 3 3 4 2" xfId="14880"/>
    <cellStyle name="20% - Accent4 2 3 3 4 2 2" xfId="28429"/>
    <cellStyle name="20% - Accent4 2 3 3 4 3" xfId="18932"/>
    <cellStyle name="20% - Accent4 2 3 3 5" xfId="1610"/>
    <cellStyle name="20% - Accent4 2 3 3 5 2" xfId="16632"/>
    <cellStyle name="20% - Accent4 2 3 3 5 2 2" xfId="30039"/>
    <cellStyle name="20% - Accent4 2 3 3 5 3" xfId="18933"/>
    <cellStyle name="20% - Accent4 2 3 3 6" xfId="9053"/>
    <cellStyle name="20% - Accent4 2 3 3 6 2" xfId="23528"/>
    <cellStyle name="20% - Accent4 2 3 3 7" xfId="18929"/>
    <cellStyle name="20% - Accent4 2 3 4" xfId="1611"/>
    <cellStyle name="20% - Accent4 2 3 4 2" xfId="1612"/>
    <cellStyle name="20% - Accent4 2 3 4 2 2" xfId="14881"/>
    <cellStyle name="20% - Accent4 2 3 4 2 2 2" xfId="28430"/>
    <cellStyle name="20% - Accent4 2 3 4 2 3" xfId="18935"/>
    <cellStyle name="20% - Accent4 2 3 4 3" xfId="10775"/>
    <cellStyle name="20% - Accent4 2 3 4 3 2" xfId="24717"/>
    <cellStyle name="20% - Accent4 2 3 4 4" xfId="18934"/>
    <cellStyle name="20% - Accent4 2 3 5" xfId="1613"/>
    <cellStyle name="20% - Accent4 2 3 5 2" xfId="12009"/>
    <cellStyle name="20% - Accent4 2 3 5 2 2" xfId="25724"/>
    <cellStyle name="20% - Accent4 2 3 5 3" xfId="18936"/>
    <cellStyle name="20% - Accent4 2 3 6" xfId="1614"/>
    <cellStyle name="20% - Accent4 2 3 6 2" xfId="12748"/>
    <cellStyle name="20% - Accent4 2 3 6 2 2" xfId="26460"/>
    <cellStyle name="20% - Accent4 2 3 6 3" xfId="18937"/>
    <cellStyle name="20% - Accent4 2 3 7" xfId="1615"/>
    <cellStyle name="20% - Accent4 2 3 7 2" xfId="13584"/>
    <cellStyle name="20% - Accent4 2 3 7 2 2" xfId="27133"/>
    <cellStyle name="20% - Accent4 2 3 7 3" xfId="18938"/>
    <cellStyle name="20% - Accent4 2 3 8" xfId="1616"/>
    <cellStyle name="20% - Accent4 2 3 8 2" xfId="14165"/>
    <cellStyle name="20% - Accent4 2 3 8 2 2" xfId="27714"/>
    <cellStyle name="20% - Accent4 2 3 8 3" xfId="18939"/>
    <cellStyle name="20% - Accent4 2 3 9" xfId="1617"/>
    <cellStyle name="20% - Accent4 2 3 9 2" xfId="14876"/>
    <cellStyle name="20% - Accent4 2 3 9 2 2" xfId="28425"/>
    <cellStyle name="20% - Accent4 2 3 9 3" xfId="18940"/>
    <cellStyle name="20% - Accent4 2 4" xfId="1618"/>
    <cellStyle name="20% - Accent4 2 4 10" xfId="9054"/>
    <cellStyle name="20% - Accent4 2 4 10 2" xfId="23529"/>
    <cellStyle name="20% - Accent4 2 4 11" xfId="18941"/>
    <cellStyle name="20% - Accent4 2 4 2" xfId="1619"/>
    <cellStyle name="20% - Accent4 2 4 2 2" xfId="1620"/>
    <cellStyle name="20% - Accent4 2 4 2 2 2" xfId="10780"/>
    <cellStyle name="20% - Accent4 2 4 2 2 2 2" xfId="24722"/>
    <cellStyle name="20% - Accent4 2 4 2 2 3" xfId="18943"/>
    <cellStyle name="20% - Accent4 2 4 2 3" xfId="1621"/>
    <cellStyle name="20% - Accent4 2 4 2 3 2" xfId="12553"/>
    <cellStyle name="20% - Accent4 2 4 2 3 2 2" xfId="26265"/>
    <cellStyle name="20% - Accent4 2 4 2 3 3" xfId="18944"/>
    <cellStyle name="20% - Accent4 2 4 2 4" xfId="1622"/>
    <cellStyle name="20% - Accent4 2 4 2 4 2" xfId="14883"/>
    <cellStyle name="20% - Accent4 2 4 2 4 2 2" xfId="28432"/>
    <cellStyle name="20% - Accent4 2 4 2 4 3" xfId="18945"/>
    <cellStyle name="20% - Accent4 2 4 2 5" xfId="1623"/>
    <cellStyle name="20% - Accent4 2 4 2 5 2" xfId="16778"/>
    <cellStyle name="20% - Accent4 2 4 2 5 2 2" xfId="30185"/>
    <cellStyle name="20% - Accent4 2 4 2 5 3" xfId="18946"/>
    <cellStyle name="20% - Accent4 2 4 2 6" xfId="9055"/>
    <cellStyle name="20% - Accent4 2 4 2 6 2" xfId="23530"/>
    <cellStyle name="20% - Accent4 2 4 2 7" xfId="18942"/>
    <cellStyle name="20% - Accent4 2 4 3" xfId="1624"/>
    <cellStyle name="20% - Accent4 2 4 3 2" xfId="1625"/>
    <cellStyle name="20% - Accent4 2 4 3 2 2" xfId="14884"/>
    <cellStyle name="20% - Accent4 2 4 3 2 2 2" xfId="28433"/>
    <cellStyle name="20% - Accent4 2 4 3 2 3" xfId="18948"/>
    <cellStyle name="20% - Accent4 2 4 3 3" xfId="10779"/>
    <cellStyle name="20% - Accent4 2 4 3 3 2" xfId="24721"/>
    <cellStyle name="20% - Accent4 2 4 3 4" xfId="18947"/>
    <cellStyle name="20% - Accent4 2 4 4" xfId="1626"/>
    <cellStyle name="20% - Accent4 2 4 4 2" xfId="12166"/>
    <cellStyle name="20% - Accent4 2 4 4 2 2" xfId="25878"/>
    <cellStyle name="20% - Accent4 2 4 4 3" xfId="18949"/>
    <cellStyle name="20% - Accent4 2 4 5" xfId="1627"/>
    <cellStyle name="20% - Accent4 2 4 5 2" xfId="12499"/>
    <cellStyle name="20% - Accent4 2 4 5 2 2" xfId="26211"/>
    <cellStyle name="20% - Accent4 2 4 5 3" xfId="18950"/>
    <cellStyle name="20% - Accent4 2 4 6" xfId="1628"/>
    <cellStyle name="20% - Accent4 2 4 6 2" xfId="13730"/>
    <cellStyle name="20% - Accent4 2 4 6 2 2" xfId="27279"/>
    <cellStyle name="20% - Accent4 2 4 6 3" xfId="18951"/>
    <cellStyle name="20% - Accent4 2 4 7" xfId="1629"/>
    <cellStyle name="20% - Accent4 2 4 7 2" xfId="14311"/>
    <cellStyle name="20% - Accent4 2 4 7 2 2" xfId="27860"/>
    <cellStyle name="20% - Accent4 2 4 7 3" xfId="18952"/>
    <cellStyle name="20% - Accent4 2 4 8" xfId="1630"/>
    <cellStyle name="20% - Accent4 2 4 8 2" xfId="14882"/>
    <cellStyle name="20% - Accent4 2 4 8 2 2" xfId="28431"/>
    <cellStyle name="20% - Accent4 2 4 8 3" xfId="18953"/>
    <cellStyle name="20% - Accent4 2 4 9" xfId="1631"/>
    <cellStyle name="20% - Accent4 2 4 9 2" xfId="16197"/>
    <cellStyle name="20% - Accent4 2 4 9 2 2" xfId="29604"/>
    <cellStyle name="20% - Accent4 2 4 9 3" xfId="18954"/>
    <cellStyle name="20% - Accent4 2 5" xfId="1632"/>
    <cellStyle name="20% - Accent4 2 5 2" xfId="1633"/>
    <cellStyle name="20% - Accent4 2 5 2 2" xfId="1634"/>
    <cellStyle name="20% - Accent4 2 5 2 2 2" xfId="10782"/>
    <cellStyle name="20% - Accent4 2 5 2 2 2 2" xfId="24724"/>
    <cellStyle name="20% - Accent4 2 5 2 2 3" xfId="18957"/>
    <cellStyle name="20% - Accent4 2 5 2 3" xfId="1635"/>
    <cellStyle name="20% - Accent4 2 5 2 3 2" xfId="12780"/>
    <cellStyle name="20% - Accent4 2 5 2 3 2 2" xfId="26492"/>
    <cellStyle name="20% - Accent4 2 5 2 3 3" xfId="18958"/>
    <cellStyle name="20% - Accent4 2 5 2 4" xfId="1636"/>
    <cellStyle name="20% - Accent4 2 5 2 4 2" xfId="14886"/>
    <cellStyle name="20% - Accent4 2 5 2 4 2 2" xfId="28435"/>
    <cellStyle name="20% - Accent4 2 5 2 4 3" xfId="18959"/>
    <cellStyle name="20% - Accent4 2 5 2 5" xfId="9057"/>
    <cellStyle name="20% - Accent4 2 5 2 5 2" xfId="23532"/>
    <cellStyle name="20% - Accent4 2 5 2 6" xfId="18956"/>
    <cellStyle name="20% - Accent4 2 5 3" xfId="1637"/>
    <cellStyle name="20% - Accent4 2 5 3 2" xfId="10781"/>
    <cellStyle name="20% - Accent4 2 5 3 2 2" xfId="24723"/>
    <cellStyle name="20% - Accent4 2 5 3 3" xfId="18960"/>
    <cellStyle name="20% - Accent4 2 5 4" xfId="1638"/>
    <cellStyle name="20% - Accent4 2 5 4 2" xfId="12522"/>
    <cellStyle name="20% - Accent4 2 5 4 2 2" xfId="26234"/>
    <cellStyle name="20% - Accent4 2 5 4 3" xfId="18961"/>
    <cellStyle name="20% - Accent4 2 5 5" xfId="1639"/>
    <cellStyle name="20% - Accent4 2 5 5 2" xfId="14885"/>
    <cellStyle name="20% - Accent4 2 5 5 2 2" xfId="28434"/>
    <cellStyle name="20% - Accent4 2 5 5 3" xfId="18962"/>
    <cellStyle name="20% - Accent4 2 5 6" xfId="1640"/>
    <cellStyle name="20% - Accent4 2 5 6 2" xfId="17010"/>
    <cellStyle name="20% - Accent4 2 5 6 2 2" xfId="30417"/>
    <cellStyle name="20% - Accent4 2 5 6 3" xfId="18963"/>
    <cellStyle name="20% - Accent4 2 5 7" xfId="9056"/>
    <cellStyle name="20% - Accent4 2 5 7 2" xfId="23531"/>
    <cellStyle name="20% - Accent4 2 5 8" xfId="18955"/>
    <cellStyle name="20% - Accent4 2 6" xfId="1641"/>
    <cellStyle name="20% - Accent4 2 6 2" xfId="1642"/>
    <cellStyle name="20% - Accent4 2 6 2 2" xfId="10783"/>
    <cellStyle name="20% - Accent4 2 6 2 2 2" xfId="24725"/>
    <cellStyle name="20% - Accent4 2 6 2 3" xfId="18965"/>
    <cellStyle name="20% - Accent4 2 6 3" xfId="1643"/>
    <cellStyle name="20% - Accent4 2 6 3 2" xfId="12406"/>
    <cellStyle name="20% - Accent4 2 6 3 2 2" xfId="26118"/>
    <cellStyle name="20% - Accent4 2 6 3 3" xfId="18966"/>
    <cellStyle name="20% - Accent4 2 6 4" xfId="1644"/>
    <cellStyle name="20% - Accent4 2 6 4 2" xfId="14887"/>
    <cellStyle name="20% - Accent4 2 6 4 2 2" xfId="28436"/>
    <cellStyle name="20% - Accent4 2 6 4 3" xfId="18967"/>
    <cellStyle name="20% - Accent4 2 6 5" xfId="1645"/>
    <cellStyle name="20% - Accent4 2 6 5 2" xfId="17125"/>
    <cellStyle name="20% - Accent4 2 6 5 2 2" xfId="30484"/>
    <cellStyle name="20% - Accent4 2 6 5 3" xfId="18968"/>
    <cellStyle name="20% - Accent4 2 6 6" xfId="9058"/>
    <cellStyle name="20% - Accent4 2 6 6 2" xfId="23533"/>
    <cellStyle name="20% - Accent4 2 6 7" xfId="18964"/>
    <cellStyle name="20% - Accent4 2 7" xfId="1646"/>
    <cellStyle name="20% - Accent4 2 7 2" xfId="1647"/>
    <cellStyle name="20% - Accent4 2 7 2 2" xfId="10784"/>
    <cellStyle name="20% - Accent4 2 7 2 2 2" xfId="24726"/>
    <cellStyle name="20% - Accent4 2 7 2 3" xfId="18970"/>
    <cellStyle name="20% - Accent4 2 7 3" xfId="1648"/>
    <cellStyle name="20% - Accent4 2 7 3 2" xfId="12788"/>
    <cellStyle name="20% - Accent4 2 7 3 2 2" xfId="26500"/>
    <cellStyle name="20% - Accent4 2 7 3 3" xfId="18971"/>
    <cellStyle name="20% - Accent4 2 7 4" xfId="1649"/>
    <cellStyle name="20% - Accent4 2 7 4 2" xfId="14888"/>
    <cellStyle name="20% - Accent4 2 7 4 2 2" xfId="28437"/>
    <cellStyle name="20% - Accent4 2 7 4 3" xfId="18972"/>
    <cellStyle name="20% - Accent4 2 7 5" xfId="1650"/>
    <cellStyle name="20% - Accent4 2 7 5 2" xfId="17214"/>
    <cellStyle name="20% - Accent4 2 7 5 2 2" xfId="30573"/>
    <cellStyle name="20% - Accent4 2 7 5 3" xfId="18973"/>
    <cellStyle name="20% - Accent4 2 7 6" xfId="9059"/>
    <cellStyle name="20% - Accent4 2 7 6 2" xfId="23534"/>
    <cellStyle name="20% - Accent4 2 7 7" xfId="18969"/>
    <cellStyle name="20% - Accent4 2 8" xfId="1651"/>
    <cellStyle name="20% - Accent4 2 8 2" xfId="1652"/>
    <cellStyle name="20% - Accent4 2 8 2 2" xfId="12480"/>
    <cellStyle name="20% - Accent4 2 8 2 2 2" xfId="26192"/>
    <cellStyle name="20% - Accent4 2 8 2 3" xfId="18975"/>
    <cellStyle name="20% - Accent4 2 8 3" xfId="1653"/>
    <cellStyle name="20% - Accent4 2 8 3 2" xfId="14889"/>
    <cellStyle name="20% - Accent4 2 8 3 2 2" xfId="28438"/>
    <cellStyle name="20% - Accent4 2 8 3 3" xfId="18976"/>
    <cellStyle name="20% - Accent4 2 8 4" xfId="1654"/>
    <cellStyle name="20% - Accent4 2 8 4 2" xfId="16489"/>
    <cellStyle name="20% - Accent4 2 8 4 2 2" xfId="29896"/>
    <cellStyle name="20% - Accent4 2 8 4 3" xfId="18977"/>
    <cellStyle name="20% - Accent4 2 8 5" xfId="10531"/>
    <cellStyle name="20% - Accent4 2 8 5 2" xfId="24473"/>
    <cellStyle name="20% - Accent4 2 8 6" xfId="18974"/>
    <cellStyle name="20% - Accent4 2 9" xfId="1655"/>
    <cellStyle name="20% - Accent4 2 9 2" xfId="1656"/>
    <cellStyle name="20% - Accent4 2 9 2 2" xfId="12593"/>
    <cellStyle name="20% - Accent4 2 9 2 2 2" xfId="26305"/>
    <cellStyle name="20% - Accent4 2 9 2 3" xfId="18979"/>
    <cellStyle name="20% - Accent4 2 9 3" xfId="1657"/>
    <cellStyle name="20% - Accent4 2 9 3 2" xfId="14890"/>
    <cellStyle name="20% - Accent4 2 9 3 2 2" xfId="28439"/>
    <cellStyle name="20% - Accent4 2 9 3 3" xfId="18980"/>
    <cellStyle name="20% - Accent4 2 9 4" xfId="10766"/>
    <cellStyle name="20% - Accent4 2 9 4 2" xfId="24708"/>
    <cellStyle name="20% - Accent4 2 9 5" xfId="18978"/>
    <cellStyle name="20% - Accent4 20" xfId="1658"/>
    <cellStyle name="20% - Accent4 20 2" xfId="1659"/>
    <cellStyle name="20% - Accent4 20 2 2" xfId="12683"/>
    <cellStyle name="20% - Accent4 20 2 2 2" xfId="26395"/>
    <cellStyle name="20% - Accent4 20 2 3" xfId="18982"/>
    <cellStyle name="20% - Accent4 20 3" xfId="1660"/>
    <cellStyle name="20% - Accent4 20 3 2" xfId="14891"/>
    <cellStyle name="20% - Accent4 20 3 2 2" xfId="28440"/>
    <cellStyle name="20% - Accent4 20 3 3" xfId="18983"/>
    <cellStyle name="20% - Accent4 20 4" xfId="10506"/>
    <cellStyle name="20% - Accent4 20 4 2" xfId="24454"/>
    <cellStyle name="20% - Accent4 20 5" xfId="18981"/>
    <cellStyle name="20% - Accent4 21" xfId="1661"/>
    <cellStyle name="20% - Accent4 21 2" xfId="1662"/>
    <cellStyle name="20% - Accent4 21 2 2" xfId="12601"/>
    <cellStyle name="20% - Accent4 21 2 2 2" xfId="26313"/>
    <cellStyle name="20% - Accent4 21 2 3" xfId="18985"/>
    <cellStyle name="20% - Accent4 21 3" xfId="1663"/>
    <cellStyle name="20% - Accent4 21 3 2" xfId="14892"/>
    <cellStyle name="20% - Accent4 21 3 2 2" xfId="28441"/>
    <cellStyle name="20% - Accent4 21 3 3" xfId="18986"/>
    <cellStyle name="20% - Accent4 21 4" xfId="10755"/>
    <cellStyle name="20% - Accent4 21 4 2" xfId="24697"/>
    <cellStyle name="20% - Accent4 21 5" xfId="18984"/>
    <cellStyle name="20% - Accent4 22" xfId="1664"/>
    <cellStyle name="20% - Accent4 22 2" xfId="11742"/>
    <cellStyle name="20% - Accent4 22 2 2" xfId="25457"/>
    <cellStyle name="20% - Accent4 22 3" xfId="18987"/>
    <cellStyle name="20% - Accent4 23" xfId="1665"/>
    <cellStyle name="20% - Accent4 23 2" xfId="12447"/>
    <cellStyle name="20% - Accent4 23 2 2" xfId="26159"/>
    <cellStyle name="20% - Accent4 23 3" xfId="18988"/>
    <cellStyle name="20% - Accent4 24" xfId="1666"/>
    <cellStyle name="20% - Accent4 24 2" xfId="13381"/>
    <cellStyle name="20% - Accent4 24 2 2" xfId="26930"/>
    <cellStyle name="20% - Accent4 24 3" xfId="18989"/>
    <cellStyle name="20% - Accent4 25" xfId="1667"/>
    <cellStyle name="20% - Accent4 25 2" xfId="13962"/>
    <cellStyle name="20% - Accent4 25 2 2" xfId="27511"/>
    <cellStyle name="20% - Accent4 25 3" xfId="18990"/>
    <cellStyle name="20% - Accent4 26" xfId="1668"/>
    <cellStyle name="20% - Accent4 26 2" xfId="14849"/>
    <cellStyle name="20% - Accent4 26 2 2" xfId="28398"/>
    <cellStyle name="20% - Accent4 26 3" xfId="18991"/>
    <cellStyle name="20% - Accent4 27" xfId="1669"/>
    <cellStyle name="20% - Accent4 27 2" xfId="15837"/>
    <cellStyle name="20% - Accent4 27 2 2" xfId="29244"/>
    <cellStyle name="20% - Accent4 27 3" xfId="18992"/>
    <cellStyle name="20% - Accent4 28" xfId="1670"/>
    <cellStyle name="20% - Accent4 28 2" xfId="15848"/>
    <cellStyle name="20% - Accent4 28 2 2" xfId="29255"/>
    <cellStyle name="20% - Accent4 28 3" xfId="18993"/>
    <cellStyle name="20% - Accent4 29" xfId="1671"/>
    <cellStyle name="20% - Accent4 29 2" xfId="9030"/>
    <cellStyle name="20% - Accent4 29 2 2" xfId="23505"/>
    <cellStyle name="20% - Accent4 29 3" xfId="18994"/>
    <cellStyle name="20% - Accent4 3" xfId="1672"/>
    <cellStyle name="20% - Accent4 3 10" xfId="1673"/>
    <cellStyle name="20% - Accent4 3 10 2" xfId="14045"/>
    <cellStyle name="20% - Accent4 3 10 2 2" xfId="27594"/>
    <cellStyle name="20% - Accent4 3 10 3" xfId="18996"/>
    <cellStyle name="20% - Accent4 3 11" xfId="1674"/>
    <cellStyle name="20% - Accent4 3 11 2" xfId="14893"/>
    <cellStyle name="20% - Accent4 3 11 2 2" xfId="28442"/>
    <cellStyle name="20% - Accent4 3 11 3" xfId="18997"/>
    <cellStyle name="20% - Accent4 3 12" xfId="1675"/>
    <cellStyle name="20% - Accent4 3 12 2" xfId="15931"/>
    <cellStyle name="20% - Accent4 3 12 2 2" xfId="29338"/>
    <cellStyle name="20% - Accent4 3 12 3" xfId="18998"/>
    <cellStyle name="20% - Accent4 3 13" xfId="9060"/>
    <cellStyle name="20% - Accent4 3 13 2" xfId="23535"/>
    <cellStyle name="20% - Accent4 3 14" xfId="18995"/>
    <cellStyle name="20% - Accent4 3 2" xfId="1676"/>
    <cellStyle name="20% - Accent4 3 2 10" xfId="1677"/>
    <cellStyle name="20% - Accent4 3 2 10 2" xfId="16074"/>
    <cellStyle name="20% - Accent4 3 2 10 2 2" xfId="29481"/>
    <cellStyle name="20% - Accent4 3 2 10 3" xfId="19000"/>
    <cellStyle name="20% - Accent4 3 2 11" xfId="9061"/>
    <cellStyle name="20% - Accent4 3 2 11 2" xfId="23536"/>
    <cellStyle name="20% - Accent4 3 2 12" xfId="18999"/>
    <cellStyle name="20% - Accent4 3 2 2" xfId="1678"/>
    <cellStyle name="20% - Accent4 3 2 2 10" xfId="9062"/>
    <cellStyle name="20% - Accent4 3 2 2 10 2" xfId="23537"/>
    <cellStyle name="20% - Accent4 3 2 2 11" xfId="19001"/>
    <cellStyle name="20% - Accent4 3 2 2 2" xfId="1679"/>
    <cellStyle name="20% - Accent4 3 2 2 2 2" xfId="1680"/>
    <cellStyle name="20% - Accent4 3 2 2 2 2 2" xfId="10788"/>
    <cellStyle name="20% - Accent4 3 2 2 2 2 2 2" xfId="24730"/>
    <cellStyle name="20% - Accent4 3 2 2 2 2 3" xfId="19003"/>
    <cellStyle name="20% - Accent4 3 2 2 2 3" xfId="1681"/>
    <cellStyle name="20% - Accent4 3 2 2 2 3 2" xfId="12771"/>
    <cellStyle name="20% - Accent4 3 2 2 2 3 2 2" xfId="26483"/>
    <cellStyle name="20% - Accent4 3 2 2 2 3 3" xfId="19004"/>
    <cellStyle name="20% - Accent4 3 2 2 2 4" xfId="1682"/>
    <cellStyle name="20% - Accent4 3 2 2 2 4 2" xfId="14896"/>
    <cellStyle name="20% - Accent4 3 2 2 2 4 2 2" xfId="28445"/>
    <cellStyle name="20% - Accent4 3 2 2 2 4 3" xfId="19005"/>
    <cellStyle name="20% - Accent4 3 2 2 2 5" xfId="1683"/>
    <cellStyle name="20% - Accent4 3 2 2 2 5 2" xfId="16944"/>
    <cellStyle name="20% - Accent4 3 2 2 2 5 2 2" xfId="30351"/>
    <cellStyle name="20% - Accent4 3 2 2 2 5 3" xfId="19006"/>
    <cellStyle name="20% - Accent4 3 2 2 2 6" xfId="9063"/>
    <cellStyle name="20% - Accent4 3 2 2 2 6 2" xfId="23538"/>
    <cellStyle name="20% - Accent4 3 2 2 2 7" xfId="19002"/>
    <cellStyle name="20% - Accent4 3 2 2 3" xfId="1684"/>
    <cellStyle name="20% - Accent4 3 2 2 3 2" xfId="1685"/>
    <cellStyle name="20% - Accent4 3 2 2 3 2 2" xfId="14897"/>
    <cellStyle name="20% - Accent4 3 2 2 3 2 2 2" xfId="28446"/>
    <cellStyle name="20% - Accent4 3 2 2 3 2 3" xfId="19008"/>
    <cellStyle name="20% - Accent4 3 2 2 3 3" xfId="10787"/>
    <cellStyle name="20% - Accent4 3 2 2 3 3 2" xfId="24729"/>
    <cellStyle name="20% - Accent4 3 2 2 3 4" xfId="19007"/>
    <cellStyle name="20% - Accent4 3 2 2 4" xfId="1686"/>
    <cellStyle name="20% - Accent4 3 2 2 4 2" xfId="12332"/>
    <cellStyle name="20% - Accent4 3 2 2 4 2 2" xfId="26044"/>
    <cellStyle name="20% - Accent4 3 2 2 4 3" xfId="19009"/>
    <cellStyle name="20% - Accent4 3 2 2 5" xfId="1687"/>
    <cellStyle name="20% - Accent4 3 2 2 5 2" xfId="12595"/>
    <cellStyle name="20% - Accent4 3 2 2 5 2 2" xfId="26307"/>
    <cellStyle name="20% - Accent4 3 2 2 5 3" xfId="19010"/>
    <cellStyle name="20% - Accent4 3 2 2 6" xfId="1688"/>
    <cellStyle name="20% - Accent4 3 2 2 6 2" xfId="13896"/>
    <cellStyle name="20% - Accent4 3 2 2 6 2 2" xfId="27445"/>
    <cellStyle name="20% - Accent4 3 2 2 6 3" xfId="19011"/>
    <cellStyle name="20% - Accent4 3 2 2 7" xfId="1689"/>
    <cellStyle name="20% - Accent4 3 2 2 7 2" xfId="14477"/>
    <cellStyle name="20% - Accent4 3 2 2 7 2 2" xfId="28026"/>
    <cellStyle name="20% - Accent4 3 2 2 7 3" xfId="19012"/>
    <cellStyle name="20% - Accent4 3 2 2 8" xfId="1690"/>
    <cellStyle name="20% - Accent4 3 2 2 8 2" xfId="14895"/>
    <cellStyle name="20% - Accent4 3 2 2 8 2 2" xfId="28444"/>
    <cellStyle name="20% - Accent4 3 2 2 8 3" xfId="19013"/>
    <cellStyle name="20% - Accent4 3 2 2 9" xfId="1691"/>
    <cellStyle name="20% - Accent4 3 2 2 9 2" xfId="16363"/>
    <cellStyle name="20% - Accent4 3 2 2 9 2 2" xfId="29770"/>
    <cellStyle name="20% - Accent4 3 2 2 9 3" xfId="19014"/>
    <cellStyle name="20% - Accent4 3 2 3" xfId="1692"/>
    <cellStyle name="20% - Accent4 3 2 3 2" xfId="1693"/>
    <cellStyle name="20% - Accent4 3 2 3 2 2" xfId="10789"/>
    <cellStyle name="20% - Accent4 3 2 3 2 2 2" xfId="24731"/>
    <cellStyle name="20% - Accent4 3 2 3 2 3" xfId="19016"/>
    <cellStyle name="20% - Accent4 3 2 3 3" xfId="1694"/>
    <cellStyle name="20% - Accent4 3 2 3 3 2" xfId="11868"/>
    <cellStyle name="20% - Accent4 3 2 3 3 2 2" xfId="25583"/>
    <cellStyle name="20% - Accent4 3 2 3 3 3" xfId="19017"/>
    <cellStyle name="20% - Accent4 3 2 3 4" xfId="1695"/>
    <cellStyle name="20% - Accent4 3 2 3 4 2" xfId="14898"/>
    <cellStyle name="20% - Accent4 3 2 3 4 2 2" xfId="28447"/>
    <cellStyle name="20% - Accent4 3 2 3 4 3" xfId="19018"/>
    <cellStyle name="20% - Accent4 3 2 3 5" xfId="1696"/>
    <cellStyle name="20% - Accent4 3 2 3 5 2" xfId="16655"/>
    <cellStyle name="20% - Accent4 3 2 3 5 2 2" xfId="30062"/>
    <cellStyle name="20% - Accent4 3 2 3 5 3" xfId="19019"/>
    <cellStyle name="20% - Accent4 3 2 3 6" xfId="9064"/>
    <cellStyle name="20% - Accent4 3 2 3 6 2" xfId="23539"/>
    <cellStyle name="20% - Accent4 3 2 3 7" xfId="19015"/>
    <cellStyle name="20% - Accent4 3 2 4" xfId="1697"/>
    <cellStyle name="20% - Accent4 3 2 4 2" xfId="1698"/>
    <cellStyle name="20% - Accent4 3 2 4 2 2" xfId="14899"/>
    <cellStyle name="20% - Accent4 3 2 4 2 2 2" xfId="28448"/>
    <cellStyle name="20% - Accent4 3 2 4 2 3" xfId="19021"/>
    <cellStyle name="20% - Accent4 3 2 4 3" xfId="10786"/>
    <cellStyle name="20% - Accent4 3 2 4 3 2" xfId="24728"/>
    <cellStyle name="20% - Accent4 3 2 4 4" xfId="19020"/>
    <cellStyle name="20% - Accent4 3 2 5" xfId="1699"/>
    <cellStyle name="20% - Accent4 3 2 5 2" xfId="12032"/>
    <cellStyle name="20% - Accent4 3 2 5 2 2" xfId="25747"/>
    <cellStyle name="20% - Accent4 3 2 5 3" xfId="19022"/>
    <cellStyle name="20% - Accent4 3 2 6" xfId="1700"/>
    <cellStyle name="20% - Accent4 3 2 6 2" xfId="12528"/>
    <cellStyle name="20% - Accent4 3 2 6 2 2" xfId="26240"/>
    <cellStyle name="20% - Accent4 3 2 6 3" xfId="19023"/>
    <cellStyle name="20% - Accent4 3 2 7" xfId="1701"/>
    <cellStyle name="20% - Accent4 3 2 7 2" xfId="13607"/>
    <cellStyle name="20% - Accent4 3 2 7 2 2" xfId="27156"/>
    <cellStyle name="20% - Accent4 3 2 7 3" xfId="19024"/>
    <cellStyle name="20% - Accent4 3 2 8" xfId="1702"/>
    <cellStyle name="20% - Accent4 3 2 8 2" xfId="14188"/>
    <cellStyle name="20% - Accent4 3 2 8 2 2" xfId="27737"/>
    <cellStyle name="20% - Accent4 3 2 8 3" xfId="19025"/>
    <cellStyle name="20% - Accent4 3 2 9" xfId="1703"/>
    <cellStyle name="20% - Accent4 3 2 9 2" xfId="14894"/>
    <cellStyle name="20% - Accent4 3 2 9 2 2" xfId="28443"/>
    <cellStyle name="20% - Accent4 3 2 9 3" xfId="19026"/>
    <cellStyle name="20% - Accent4 3 3" xfId="1704"/>
    <cellStyle name="20% - Accent4 3 3 10" xfId="9065"/>
    <cellStyle name="20% - Accent4 3 3 10 2" xfId="23540"/>
    <cellStyle name="20% - Accent4 3 3 11" xfId="19027"/>
    <cellStyle name="20% - Accent4 3 3 2" xfId="1705"/>
    <cellStyle name="20% - Accent4 3 3 2 2" xfId="1706"/>
    <cellStyle name="20% - Accent4 3 3 2 2 2" xfId="10791"/>
    <cellStyle name="20% - Accent4 3 3 2 2 2 2" xfId="24733"/>
    <cellStyle name="20% - Accent4 3 3 2 2 3" xfId="19029"/>
    <cellStyle name="20% - Accent4 3 3 2 3" xfId="1707"/>
    <cellStyle name="20% - Accent4 3 3 2 3 2" xfId="12516"/>
    <cellStyle name="20% - Accent4 3 3 2 3 2 2" xfId="26228"/>
    <cellStyle name="20% - Accent4 3 3 2 3 3" xfId="19030"/>
    <cellStyle name="20% - Accent4 3 3 2 4" xfId="1708"/>
    <cellStyle name="20% - Accent4 3 3 2 4 2" xfId="14901"/>
    <cellStyle name="20% - Accent4 3 3 2 4 2 2" xfId="28450"/>
    <cellStyle name="20% - Accent4 3 3 2 4 3" xfId="19031"/>
    <cellStyle name="20% - Accent4 3 3 2 5" xfId="1709"/>
    <cellStyle name="20% - Accent4 3 3 2 5 2" xfId="16801"/>
    <cellStyle name="20% - Accent4 3 3 2 5 2 2" xfId="30208"/>
    <cellStyle name="20% - Accent4 3 3 2 5 3" xfId="19032"/>
    <cellStyle name="20% - Accent4 3 3 2 6" xfId="9066"/>
    <cellStyle name="20% - Accent4 3 3 2 6 2" xfId="23541"/>
    <cellStyle name="20% - Accent4 3 3 2 7" xfId="19028"/>
    <cellStyle name="20% - Accent4 3 3 3" xfId="1710"/>
    <cellStyle name="20% - Accent4 3 3 3 2" xfId="1711"/>
    <cellStyle name="20% - Accent4 3 3 3 2 2" xfId="14902"/>
    <cellStyle name="20% - Accent4 3 3 3 2 2 2" xfId="28451"/>
    <cellStyle name="20% - Accent4 3 3 3 2 3" xfId="19034"/>
    <cellStyle name="20% - Accent4 3 3 3 3" xfId="10790"/>
    <cellStyle name="20% - Accent4 3 3 3 3 2" xfId="24732"/>
    <cellStyle name="20% - Accent4 3 3 3 4" xfId="19033"/>
    <cellStyle name="20% - Accent4 3 3 4" xfId="1712"/>
    <cellStyle name="20% - Accent4 3 3 4 2" xfId="12189"/>
    <cellStyle name="20% - Accent4 3 3 4 2 2" xfId="25901"/>
    <cellStyle name="20% - Accent4 3 3 4 3" xfId="19035"/>
    <cellStyle name="20% - Accent4 3 3 5" xfId="1713"/>
    <cellStyle name="20% - Accent4 3 3 5 2" xfId="12545"/>
    <cellStyle name="20% - Accent4 3 3 5 2 2" xfId="26257"/>
    <cellStyle name="20% - Accent4 3 3 5 3" xfId="19036"/>
    <cellStyle name="20% - Accent4 3 3 6" xfId="1714"/>
    <cellStyle name="20% - Accent4 3 3 6 2" xfId="13753"/>
    <cellStyle name="20% - Accent4 3 3 6 2 2" xfId="27302"/>
    <cellStyle name="20% - Accent4 3 3 6 3" xfId="19037"/>
    <cellStyle name="20% - Accent4 3 3 7" xfId="1715"/>
    <cellStyle name="20% - Accent4 3 3 7 2" xfId="14334"/>
    <cellStyle name="20% - Accent4 3 3 7 2 2" xfId="27883"/>
    <cellStyle name="20% - Accent4 3 3 7 3" xfId="19038"/>
    <cellStyle name="20% - Accent4 3 3 8" xfId="1716"/>
    <cellStyle name="20% - Accent4 3 3 8 2" xfId="14900"/>
    <cellStyle name="20% - Accent4 3 3 8 2 2" xfId="28449"/>
    <cellStyle name="20% - Accent4 3 3 8 3" xfId="19039"/>
    <cellStyle name="20% - Accent4 3 3 9" xfId="1717"/>
    <cellStyle name="20% - Accent4 3 3 9 2" xfId="16220"/>
    <cellStyle name="20% - Accent4 3 3 9 2 2" xfId="29627"/>
    <cellStyle name="20% - Accent4 3 3 9 3" xfId="19040"/>
    <cellStyle name="20% - Accent4 3 4" xfId="1718"/>
    <cellStyle name="20% - Accent4 3 4 2" xfId="1719"/>
    <cellStyle name="20% - Accent4 3 4 2 2" xfId="10792"/>
    <cellStyle name="20% - Accent4 3 4 2 2 2" xfId="24734"/>
    <cellStyle name="20% - Accent4 3 4 2 3" xfId="19042"/>
    <cellStyle name="20% - Accent4 3 4 3" xfId="1720"/>
    <cellStyle name="20% - Accent4 3 4 3 2" xfId="12590"/>
    <cellStyle name="20% - Accent4 3 4 3 2 2" xfId="26302"/>
    <cellStyle name="20% - Accent4 3 4 3 3" xfId="19043"/>
    <cellStyle name="20% - Accent4 3 4 4" xfId="1721"/>
    <cellStyle name="20% - Accent4 3 4 4 2" xfId="14903"/>
    <cellStyle name="20% - Accent4 3 4 4 2 2" xfId="28452"/>
    <cellStyle name="20% - Accent4 3 4 4 3" xfId="19044"/>
    <cellStyle name="20% - Accent4 3 4 5" xfId="1722"/>
    <cellStyle name="20% - Accent4 3 4 5 2" xfId="17148"/>
    <cellStyle name="20% - Accent4 3 4 5 2 2" xfId="30507"/>
    <cellStyle name="20% - Accent4 3 4 5 3" xfId="19045"/>
    <cellStyle name="20% - Accent4 3 4 6" xfId="9067"/>
    <cellStyle name="20% - Accent4 3 4 6 2" xfId="23542"/>
    <cellStyle name="20% - Accent4 3 4 7" xfId="19041"/>
    <cellStyle name="20% - Accent4 3 5" xfId="1723"/>
    <cellStyle name="20% - Accent4 3 5 2" xfId="1724"/>
    <cellStyle name="20% - Accent4 3 5 2 2" xfId="10793"/>
    <cellStyle name="20% - Accent4 3 5 2 2 2" xfId="24735"/>
    <cellStyle name="20% - Accent4 3 5 2 3" xfId="19047"/>
    <cellStyle name="20% - Accent4 3 5 3" xfId="1725"/>
    <cellStyle name="20% - Accent4 3 5 3 2" xfId="11851"/>
    <cellStyle name="20% - Accent4 3 5 3 2 2" xfId="25566"/>
    <cellStyle name="20% - Accent4 3 5 3 3" xfId="19048"/>
    <cellStyle name="20% - Accent4 3 5 4" xfId="1726"/>
    <cellStyle name="20% - Accent4 3 5 4 2" xfId="14904"/>
    <cellStyle name="20% - Accent4 3 5 4 2 2" xfId="28453"/>
    <cellStyle name="20% - Accent4 3 5 4 3" xfId="19049"/>
    <cellStyle name="20% - Accent4 3 5 5" xfId="1727"/>
    <cellStyle name="20% - Accent4 3 5 5 2" xfId="17237"/>
    <cellStyle name="20% - Accent4 3 5 5 2 2" xfId="30596"/>
    <cellStyle name="20% - Accent4 3 5 5 3" xfId="19050"/>
    <cellStyle name="20% - Accent4 3 5 6" xfId="9068"/>
    <cellStyle name="20% - Accent4 3 5 6 2" xfId="23543"/>
    <cellStyle name="20% - Accent4 3 5 7" xfId="19046"/>
    <cellStyle name="20% - Accent4 3 6" xfId="1728"/>
    <cellStyle name="20% - Accent4 3 6 2" xfId="1729"/>
    <cellStyle name="20% - Accent4 3 6 2 2" xfId="14905"/>
    <cellStyle name="20% - Accent4 3 6 2 2 2" xfId="28454"/>
    <cellStyle name="20% - Accent4 3 6 2 3" xfId="19052"/>
    <cellStyle name="20% - Accent4 3 6 3" xfId="1730"/>
    <cellStyle name="20% - Accent4 3 6 3 2" xfId="16512"/>
    <cellStyle name="20% - Accent4 3 6 3 2 2" xfId="29919"/>
    <cellStyle name="20% - Accent4 3 6 3 3" xfId="19053"/>
    <cellStyle name="20% - Accent4 3 6 4" xfId="10785"/>
    <cellStyle name="20% - Accent4 3 6 4 2" xfId="24727"/>
    <cellStyle name="20% - Accent4 3 6 5" xfId="19051"/>
    <cellStyle name="20% - Accent4 3 7" xfId="1731"/>
    <cellStyle name="20% - Accent4 3 7 2" xfId="11884"/>
    <cellStyle name="20% - Accent4 3 7 2 2" xfId="25599"/>
    <cellStyle name="20% - Accent4 3 7 3" xfId="19054"/>
    <cellStyle name="20% - Accent4 3 8" xfId="1732"/>
    <cellStyle name="20% - Accent4 3 8 2" xfId="12435"/>
    <cellStyle name="20% - Accent4 3 8 2 2" xfId="26147"/>
    <cellStyle name="20% - Accent4 3 8 3" xfId="19055"/>
    <cellStyle name="20% - Accent4 3 9" xfId="1733"/>
    <cellStyle name="20% - Accent4 3 9 2" xfId="13464"/>
    <cellStyle name="20% - Accent4 3 9 2 2" xfId="27013"/>
    <cellStyle name="20% - Accent4 3 9 3" xfId="19056"/>
    <cellStyle name="20% - Accent4 30" xfId="23257"/>
    <cellStyle name="20% - Accent4 4" xfId="1734"/>
    <cellStyle name="20% - Accent4 4 10" xfId="1735"/>
    <cellStyle name="20% - Accent4 4 10 2" xfId="14906"/>
    <cellStyle name="20% - Accent4 4 10 2 2" xfId="28455"/>
    <cellStyle name="20% - Accent4 4 10 3" xfId="19058"/>
    <cellStyle name="20% - Accent4 4 11" xfId="1736"/>
    <cellStyle name="20% - Accent4 4 11 2" xfId="15882"/>
    <cellStyle name="20% - Accent4 4 11 2 2" xfId="29289"/>
    <cellStyle name="20% - Accent4 4 11 3" xfId="19059"/>
    <cellStyle name="20% - Accent4 4 12" xfId="9069"/>
    <cellStyle name="20% - Accent4 4 12 2" xfId="23544"/>
    <cellStyle name="20% - Accent4 4 13" xfId="19057"/>
    <cellStyle name="20% - Accent4 4 2" xfId="1737"/>
    <cellStyle name="20% - Accent4 4 2 10" xfId="1738"/>
    <cellStyle name="20% - Accent4 4 2 10 2" xfId="16025"/>
    <cellStyle name="20% - Accent4 4 2 10 2 2" xfId="29432"/>
    <cellStyle name="20% - Accent4 4 2 10 3" xfId="19061"/>
    <cellStyle name="20% - Accent4 4 2 11" xfId="9070"/>
    <cellStyle name="20% - Accent4 4 2 11 2" xfId="23545"/>
    <cellStyle name="20% - Accent4 4 2 12" xfId="19060"/>
    <cellStyle name="20% - Accent4 4 2 2" xfId="1739"/>
    <cellStyle name="20% - Accent4 4 2 2 10" xfId="9071"/>
    <cellStyle name="20% - Accent4 4 2 2 10 2" xfId="23546"/>
    <cellStyle name="20% - Accent4 4 2 2 11" xfId="19062"/>
    <cellStyle name="20% - Accent4 4 2 2 2" xfId="1740"/>
    <cellStyle name="20% - Accent4 4 2 2 2 2" xfId="1741"/>
    <cellStyle name="20% - Accent4 4 2 2 2 2 2" xfId="10797"/>
    <cellStyle name="20% - Accent4 4 2 2 2 2 2 2" xfId="24739"/>
    <cellStyle name="20% - Accent4 4 2 2 2 2 3" xfId="19064"/>
    <cellStyle name="20% - Accent4 4 2 2 2 3" xfId="1742"/>
    <cellStyle name="20% - Accent4 4 2 2 2 3 2" xfId="11738"/>
    <cellStyle name="20% - Accent4 4 2 2 2 3 2 2" xfId="25453"/>
    <cellStyle name="20% - Accent4 4 2 2 2 3 3" xfId="19065"/>
    <cellStyle name="20% - Accent4 4 2 2 2 4" xfId="1743"/>
    <cellStyle name="20% - Accent4 4 2 2 2 4 2" xfId="14909"/>
    <cellStyle name="20% - Accent4 4 2 2 2 4 2 2" xfId="28458"/>
    <cellStyle name="20% - Accent4 4 2 2 2 4 3" xfId="19066"/>
    <cellStyle name="20% - Accent4 4 2 2 2 5" xfId="1744"/>
    <cellStyle name="20% - Accent4 4 2 2 2 5 2" xfId="16895"/>
    <cellStyle name="20% - Accent4 4 2 2 2 5 2 2" xfId="30302"/>
    <cellStyle name="20% - Accent4 4 2 2 2 5 3" xfId="19067"/>
    <cellStyle name="20% - Accent4 4 2 2 2 6" xfId="9072"/>
    <cellStyle name="20% - Accent4 4 2 2 2 6 2" xfId="23547"/>
    <cellStyle name="20% - Accent4 4 2 2 2 7" xfId="19063"/>
    <cellStyle name="20% - Accent4 4 2 2 3" xfId="1745"/>
    <cellStyle name="20% - Accent4 4 2 2 3 2" xfId="1746"/>
    <cellStyle name="20% - Accent4 4 2 2 3 2 2" xfId="14910"/>
    <cellStyle name="20% - Accent4 4 2 2 3 2 2 2" xfId="28459"/>
    <cellStyle name="20% - Accent4 4 2 2 3 2 3" xfId="19069"/>
    <cellStyle name="20% - Accent4 4 2 2 3 3" xfId="10796"/>
    <cellStyle name="20% - Accent4 4 2 2 3 3 2" xfId="24738"/>
    <cellStyle name="20% - Accent4 4 2 2 3 4" xfId="19068"/>
    <cellStyle name="20% - Accent4 4 2 2 4" xfId="1747"/>
    <cellStyle name="20% - Accent4 4 2 2 4 2" xfId="12283"/>
    <cellStyle name="20% - Accent4 4 2 2 4 2 2" xfId="25995"/>
    <cellStyle name="20% - Accent4 4 2 2 4 3" xfId="19070"/>
    <cellStyle name="20% - Accent4 4 2 2 5" xfId="1748"/>
    <cellStyle name="20% - Accent4 4 2 2 5 2" xfId="12751"/>
    <cellStyle name="20% - Accent4 4 2 2 5 2 2" xfId="26463"/>
    <cellStyle name="20% - Accent4 4 2 2 5 3" xfId="19071"/>
    <cellStyle name="20% - Accent4 4 2 2 6" xfId="1749"/>
    <cellStyle name="20% - Accent4 4 2 2 6 2" xfId="13847"/>
    <cellStyle name="20% - Accent4 4 2 2 6 2 2" xfId="27396"/>
    <cellStyle name="20% - Accent4 4 2 2 6 3" xfId="19072"/>
    <cellStyle name="20% - Accent4 4 2 2 7" xfId="1750"/>
    <cellStyle name="20% - Accent4 4 2 2 7 2" xfId="14428"/>
    <cellStyle name="20% - Accent4 4 2 2 7 2 2" xfId="27977"/>
    <cellStyle name="20% - Accent4 4 2 2 7 3" xfId="19073"/>
    <cellStyle name="20% - Accent4 4 2 2 8" xfId="1751"/>
    <cellStyle name="20% - Accent4 4 2 2 8 2" xfId="14908"/>
    <cellStyle name="20% - Accent4 4 2 2 8 2 2" xfId="28457"/>
    <cellStyle name="20% - Accent4 4 2 2 8 3" xfId="19074"/>
    <cellStyle name="20% - Accent4 4 2 2 9" xfId="1752"/>
    <cellStyle name="20% - Accent4 4 2 2 9 2" xfId="16314"/>
    <cellStyle name="20% - Accent4 4 2 2 9 2 2" xfId="29721"/>
    <cellStyle name="20% - Accent4 4 2 2 9 3" xfId="19075"/>
    <cellStyle name="20% - Accent4 4 2 3" xfId="1753"/>
    <cellStyle name="20% - Accent4 4 2 3 2" xfId="1754"/>
    <cellStyle name="20% - Accent4 4 2 3 2 2" xfId="10798"/>
    <cellStyle name="20% - Accent4 4 2 3 2 2 2" xfId="24740"/>
    <cellStyle name="20% - Accent4 4 2 3 2 3" xfId="19077"/>
    <cellStyle name="20% - Accent4 4 2 3 3" xfId="1755"/>
    <cellStyle name="20% - Accent4 4 2 3 3 2" xfId="12635"/>
    <cellStyle name="20% - Accent4 4 2 3 3 2 2" xfId="26347"/>
    <cellStyle name="20% - Accent4 4 2 3 3 3" xfId="19078"/>
    <cellStyle name="20% - Accent4 4 2 3 4" xfId="1756"/>
    <cellStyle name="20% - Accent4 4 2 3 4 2" xfId="14911"/>
    <cellStyle name="20% - Accent4 4 2 3 4 2 2" xfId="28460"/>
    <cellStyle name="20% - Accent4 4 2 3 4 3" xfId="19079"/>
    <cellStyle name="20% - Accent4 4 2 3 5" xfId="1757"/>
    <cellStyle name="20% - Accent4 4 2 3 5 2" xfId="16606"/>
    <cellStyle name="20% - Accent4 4 2 3 5 2 2" xfId="30013"/>
    <cellStyle name="20% - Accent4 4 2 3 5 3" xfId="19080"/>
    <cellStyle name="20% - Accent4 4 2 3 6" xfId="9073"/>
    <cellStyle name="20% - Accent4 4 2 3 6 2" xfId="23548"/>
    <cellStyle name="20% - Accent4 4 2 3 7" xfId="19076"/>
    <cellStyle name="20% - Accent4 4 2 4" xfId="1758"/>
    <cellStyle name="20% - Accent4 4 2 4 2" xfId="1759"/>
    <cellStyle name="20% - Accent4 4 2 4 2 2" xfId="14912"/>
    <cellStyle name="20% - Accent4 4 2 4 2 2 2" xfId="28461"/>
    <cellStyle name="20% - Accent4 4 2 4 2 3" xfId="19082"/>
    <cellStyle name="20% - Accent4 4 2 4 3" xfId="10795"/>
    <cellStyle name="20% - Accent4 4 2 4 3 2" xfId="24737"/>
    <cellStyle name="20% - Accent4 4 2 4 4" xfId="19081"/>
    <cellStyle name="20% - Accent4 4 2 5" xfId="1760"/>
    <cellStyle name="20% - Accent4 4 2 5 2" xfId="11983"/>
    <cellStyle name="20% - Accent4 4 2 5 2 2" xfId="25698"/>
    <cellStyle name="20% - Accent4 4 2 5 3" xfId="19083"/>
    <cellStyle name="20% - Accent4 4 2 6" xfId="1761"/>
    <cellStyle name="20% - Accent4 4 2 6 2" xfId="12507"/>
    <cellStyle name="20% - Accent4 4 2 6 2 2" xfId="26219"/>
    <cellStyle name="20% - Accent4 4 2 6 3" xfId="19084"/>
    <cellStyle name="20% - Accent4 4 2 7" xfId="1762"/>
    <cellStyle name="20% - Accent4 4 2 7 2" xfId="13558"/>
    <cellStyle name="20% - Accent4 4 2 7 2 2" xfId="27107"/>
    <cellStyle name="20% - Accent4 4 2 7 3" xfId="19085"/>
    <cellStyle name="20% - Accent4 4 2 8" xfId="1763"/>
    <cellStyle name="20% - Accent4 4 2 8 2" xfId="14139"/>
    <cellStyle name="20% - Accent4 4 2 8 2 2" xfId="27688"/>
    <cellStyle name="20% - Accent4 4 2 8 3" xfId="19086"/>
    <cellStyle name="20% - Accent4 4 2 9" xfId="1764"/>
    <cellStyle name="20% - Accent4 4 2 9 2" xfId="14907"/>
    <cellStyle name="20% - Accent4 4 2 9 2 2" xfId="28456"/>
    <cellStyle name="20% - Accent4 4 2 9 3" xfId="19087"/>
    <cellStyle name="20% - Accent4 4 3" xfId="1765"/>
    <cellStyle name="20% - Accent4 4 3 10" xfId="9074"/>
    <cellStyle name="20% - Accent4 4 3 10 2" xfId="23549"/>
    <cellStyle name="20% - Accent4 4 3 11" xfId="19088"/>
    <cellStyle name="20% - Accent4 4 3 2" xfId="1766"/>
    <cellStyle name="20% - Accent4 4 3 2 2" xfId="1767"/>
    <cellStyle name="20% - Accent4 4 3 2 2 2" xfId="10800"/>
    <cellStyle name="20% - Accent4 4 3 2 2 2 2" xfId="24742"/>
    <cellStyle name="20% - Accent4 4 3 2 2 3" xfId="19090"/>
    <cellStyle name="20% - Accent4 4 3 2 3" xfId="1768"/>
    <cellStyle name="20% - Accent4 4 3 2 3 2" xfId="12609"/>
    <cellStyle name="20% - Accent4 4 3 2 3 2 2" xfId="26321"/>
    <cellStyle name="20% - Accent4 4 3 2 3 3" xfId="19091"/>
    <cellStyle name="20% - Accent4 4 3 2 4" xfId="1769"/>
    <cellStyle name="20% - Accent4 4 3 2 4 2" xfId="14914"/>
    <cellStyle name="20% - Accent4 4 3 2 4 2 2" xfId="28463"/>
    <cellStyle name="20% - Accent4 4 3 2 4 3" xfId="19092"/>
    <cellStyle name="20% - Accent4 4 3 2 5" xfId="1770"/>
    <cellStyle name="20% - Accent4 4 3 2 5 2" xfId="16755"/>
    <cellStyle name="20% - Accent4 4 3 2 5 2 2" xfId="30162"/>
    <cellStyle name="20% - Accent4 4 3 2 5 3" xfId="19093"/>
    <cellStyle name="20% - Accent4 4 3 2 6" xfId="9075"/>
    <cellStyle name="20% - Accent4 4 3 2 6 2" xfId="23550"/>
    <cellStyle name="20% - Accent4 4 3 2 7" xfId="19089"/>
    <cellStyle name="20% - Accent4 4 3 3" xfId="1771"/>
    <cellStyle name="20% - Accent4 4 3 3 2" xfId="1772"/>
    <cellStyle name="20% - Accent4 4 3 3 2 2" xfId="14915"/>
    <cellStyle name="20% - Accent4 4 3 3 2 2 2" xfId="28464"/>
    <cellStyle name="20% - Accent4 4 3 3 2 3" xfId="19095"/>
    <cellStyle name="20% - Accent4 4 3 3 3" xfId="10799"/>
    <cellStyle name="20% - Accent4 4 3 3 3 2" xfId="24741"/>
    <cellStyle name="20% - Accent4 4 3 3 4" xfId="19094"/>
    <cellStyle name="20% - Accent4 4 3 4" xfId="1773"/>
    <cellStyle name="20% - Accent4 4 3 4 2" xfId="12143"/>
    <cellStyle name="20% - Accent4 4 3 4 2 2" xfId="25855"/>
    <cellStyle name="20% - Accent4 4 3 4 3" xfId="19096"/>
    <cellStyle name="20% - Accent4 4 3 5" xfId="1774"/>
    <cellStyle name="20% - Accent4 4 3 5 2" xfId="12636"/>
    <cellStyle name="20% - Accent4 4 3 5 2 2" xfId="26348"/>
    <cellStyle name="20% - Accent4 4 3 5 3" xfId="19097"/>
    <cellStyle name="20% - Accent4 4 3 6" xfId="1775"/>
    <cellStyle name="20% - Accent4 4 3 6 2" xfId="13707"/>
    <cellStyle name="20% - Accent4 4 3 6 2 2" xfId="27256"/>
    <cellStyle name="20% - Accent4 4 3 6 3" xfId="19098"/>
    <cellStyle name="20% - Accent4 4 3 7" xfId="1776"/>
    <cellStyle name="20% - Accent4 4 3 7 2" xfId="14288"/>
    <cellStyle name="20% - Accent4 4 3 7 2 2" xfId="27837"/>
    <cellStyle name="20% - Accent4 4 3 7 3" xfId="19099"/>
    <cellStyle name="20% - Accent4 4 3 8" xfId="1777"/>
    <cellStyle name="20% - Accent4 4 3 8 2" xfId="14913"/>
    <cellStyle name="20% - Accent4 4 3 8 2 2" xfId="28462"/>
    <cellStyle name="20% - Accent4 4 3 8 3" xfId="19100"/>
    <cellStyle name="20% - Accent4 4 3 9" xfId="1778"/>
    <cellStyle name="20% - Accent4 4 3 9 2" xfId="16174"/>
    <cellStyle name="20% - Accent4 4 3 9 2 2" xfId="29581"/>
    <cellStyle name="20% - Accent4 4 3 9 3" xfId="19101"/>
    <cellStyle name="20% - Accent4 4 4" xfId="1779"/>
    <cellStyle name="20% - Accent4 4 4 2" xfId="1780"/>
    <cellStyle name="20% - Accent4 4 4 2 2" xfId="10801"/>
    <cellStyle name="20% - Accent4 4 4 2 2 2" xfId="24743"/>
    <cellStyle name="20% - Accent4 4 4 2 3" xfId="19103"/>
    <cellStyle name="20% - Accent4 4 4 3" xfId="1781"/>
    <cellStyle name="20% - Accent4 4 4 3 2" xfId="12425"/>
    <cellStyle name="20% - Accent4 4 4 3 2 2" xfId="26137"/>
    <cellStyle name="20% - Accent4 4 4 3 3" xfId="19104"/>
    <cellStyle name="20% - Accent4 4 4 4" xfId="1782"/>
    <cellStyle name="20% - Accent4 4 4 4 2" xfId="14916"/>
    <cellStyle name="20% - Accent4 4 4 4 2 2" xfId="28465"/>
    <cellStyle name="20% - Accent4 4 4 4 3" xfId="19105"/>
    <cellStyle name="20% - Accent4 4 4 5" xfId="1783"/>
    <cellStyle name="20% - Accent4 4 4 5 2" xfId="16463"/>
    <cellStyle name="20% - Accent4 4 4 5 2 2" xfId="29870"/>
    <cellStyle name="20% - Accent4 4 4 5 3" xfId="19106"/>
    <cellStyle name="20% - Accent4 4 4 6" xfId="9076"/>
    <cellStyle name="20% - Accent4 4 4 6 2" xfId="23551"/>
    <cellStyle name="20% - Accent4 4 4 7" xfId="19102"/>
    <cellStyle name="20% - Accent4 4 5" xfId="1784"/>
    <cellStyle name="20% - Accent4 4 5 2" xfId="1785"/>
    <cellStyle name="20% - Accent4 4 5 2 2" xfId="14917"/>
    <cellStyle name="20% - Accent4 4 5 2 2 2" xfId="28466"/>
    <cellStyle name="20% - Accent4 4 5 2 3" xfId="19108"/>
    <cellStyle name="20% - Accent4 4 5 3" xfId="10794"/>
    <cellStyle name="20% - Accent4 4 5 3 2" xfId="24736"/>
    <cellStyle name="20% - Accent4 4 5 4" xfId="19107"/>
    <cellStyle name="20% - Accent4 4 6" xfId="1786"/>
    <cellStyle name="20% - Accent4 4 6 2" xfId="11814"/>
    <cellStyle name="20% - Accent4 4 6 2 2" xfId="25529"/>
    <cellStyle name="20% - Accent4 4 6 3" xfId="19109"/>
    <cellStyle name="20% - Accent4 4 7" xfId="1787"/>
    <cellStyle name="20% - Accent4 4 7 2" xfId="11858"/>
    <cellStyle name="20% - Accent4 4 7 2 2" xfId="25573"/>
    <cellStyle name="20% - Accent4 4 7 3" xfId="19110"/>
    <cellStyle name="20% - Accent4 4 8" xfId="1788"/>
    <cellStyle name="20% - Accent4 4 8 2" xfId="13415"/>
    <cellStyle name="20% - Accent4 4 8 2 2" xfId="26964"/>
    <cellStyle name="20% - Accent4 4 8 3" xfId="19111"/>
    <cellStyle name="20% - Accent4 4 9" xfId="1789"/>
    <cellStyle name="20% - Accent4 4 9 2" xfId="13996"/>
    <cellStyle name="20% - Accent4 4 9 2 2" xfId="27545"/>
    <cellStyle name="20% - Accent4 4 9 3" xfId="19112"/>
    <cellStyle name="20% - Accent4 5" xfId="1790"/>
    <cellStyle name="20% - Accent4 5 10" xfId="1791"/>
    <cellStyle name="20% - Accent4 5 10 2" xfId="14918"/>
    <cellStyle name="20% - Accent4 5 10 2 2" xfId="28467"/>
    <cellStyle name="20% - Accent4 5 10 3" xfId="19114"/>
    <cellStyle name="20% - Accent4 5 11" xfId="1792"/>
    <cellStyle name="20% - Accent4 5 11 2" xfId="15865"/>
    <cellStyle name="20% - Accent4 5 11 2 2" xfId="29272"/>
    <cellStyle name="20% - Accent4 5 11 3" xfId="19115"/>
    <cellStyle name="20% - Accent4 5 12" xfId="9077"/>
    <cellStyle name="20% - Accent4 5 12 2" xfId="23552"/>
    <cellStyle name="20% - Accent4 5 13" xfId="19113"/>
    <cellStyle name="20% - Accent4 5 2" xfId="1793"/>
    <cellStyle name="20% - Accent4 5 2 10" xfId="1794"/>
    <cellStyle name="20% - Accent4 5 2 10 2" xfId="16008"/>
    <cellStyle name="20% - Accent4 5 2 10 2 2" xfId="29415"/>
    <cellStyle name="20% - Accent4 5 2 10 3" xfId="19117"/>
    <cellStyle name="20% - Accent4 5 2 11" xfId="9078"/>
    <cellStyle name="20% - Accent4 5 2 11 2" xfId="23553"/>
    <cellStyle name="20% - Accent4 5 2 12" xfId="19116"/>
    <cellStyle name="20% - Accent4 5 2 2" xfId="1795"/>
    <cellStyle name="20% - Accent4 5 2 2 10" xfId="9079"/>
    <cellStyle name="20% - Accent4 5 2 2 10 2" xfId="23554"/>
    <cellStyle name="20% - Accent4 5 2 2 11" xfId="19118"/>
    <cellStyle name="20% - Accent4 5 2 2 2" xfId="1796"/>
    <cellStyle name="20% - Accent4 5 2 2 2 2" xfId="1797"/>
    <cellStyle name="20% - Accent4 5 2 2 2 2 2" xfId="10805"/>
    <cellStyle name="20% - Accent4 5 2 2 2 2 2 2" xfId="24747"/>
    <cellStyle name="20% - Accent4 5 2 2 2 2 3" xfId="19120"/>
    <cellStyle name="20% - Accent4 5 2 2 2 3" xfId="1798"/>
    <cellStyle name="20% - Accent4 5 2 2 2 3 2" xfId="12738"/>
    <cellStyle name="20% - Accent4 5 2 2 2 3 2 2" xfId="26450"/>
    <cellStyle name="20% - Accent4 5 2 2 2 3 3" xfId="19121"/>
    <cellStyle name="20% - Accent4 5 2 2 2 4" xfId="1799"/>
    <cellStyle name="20% - Accent4 5 2 2 2 4 2" xfId="14921"/>
    <cellStyle name="20% - Accent4 5 2 2 2 4 2 2" xfId="28470"/>
    <cellStyle name="20% - Accent4 5 2 2 2 4 3" xfId="19122"/>
    <cellStyle name="20% - Accent4 5 2 2 2 5" xfId="1800"/>
    <cellStyle name="20% - Accent4 5 2 2 2 5 2" xfId="16878"/>
    <cellStyle name="20% - Accent4 5 2 2 2 5 2 2" xfId="30285"/>
    <cellStyle name="20% - Accent4 5 2 2 2 5 3" xfId="19123"/>
    <cellStyle name="20% - Accent4 5 2 2 2 6" xfId="9080"/>
    <cellStyle name="20% - Accent4 5 2 2 2 6 2" xfId="23555"/>
    <cellStyle name="20% - Accent4 5 2 2 2 7" xfId="19119"/>
    <cellStyle name="20% - Accent4 5 2 2 3" xfId="1801"/>
    <cellStyle name="20% - Accent4 5 2 2 3 2" xfId="1802"/>
    <cellStyle name="20% - Accent4 5 2 2 3 2 2" xfId="14922"/>
    <cellStyle name="20% - Accent4 5 2 2 3 2 2 2" xfId="28471"/>
    <cellStyle name="20% - Accent4 5 2 2 3 2 3" xfId="19125"/>
    <cellStyle name="20% - Accent4 5 2 2 3 3" xfId="10804"/>
    <cellStyle name="20% - Accent4 5 2 2 3 3 2" xfId="24746"/>
    <cellStyle name="20% - Accent4 5 2 2 3 4" xfId="19124"/>
    <cellStyle name="20% - Accent4 5 2 2 4" xfId="1803"/>
    <cellStyle name="20% - Accent4 5 2 2 4 2" xfId="12266"/>
    <cellStyle name="20% - Accent4 5 2 2 4 2 2" xfId="25978"/>
    <cellStyle name="20% - Accent4 5 2 2 4 3" xfId="19126"/>
    <cellStyle name="20% - Accent4 5 2 2 5" xfId="1804"/>
    <cellStyle name="20% - Accent4 5 2 2 5 2" xfId="12770"/>
    <cellStyle name="20% - Accent4 5 2 2 5 2 2" xfId="26482"/>
    <cellStyle name="20% - Accent4 5 2 2 5 3" xfId="19127"/>
    <cellStyle name="20% - Accent4 5 2 2 6" xfId="1805"/>
    <cellStyle name="20% - Accent4 5 2 2 6 2" xfId="13830"/>
    <cellStyle name="20% - Accent4 5 2 2 6 2 2" xfId="27379"/>
    <cellStyle name="20% - Accent4 5 2 2 6 3" xfId="19128"/>
    <cellStyle name="20% - Accent4 5 2 2 7" xfId="1806"/>
    <cellStyle name="20% - Accent4 5 2 2 7 2" xfId="14411"/>
    <cellStyle name="20% - Accent4 5 2 2 7 2 2" xfId="27960"/>
    <cellStyle name="20% - Accent4 5 2 2 7 3" xfId="19129"/>
    <cellStyle name="20% - Accent4 5 2 2 8" xfId="1807"/>
    <cellStyle name="20% - Accent4 5 2 2 8 2" xfId="14920"/>
    <cellStyle name="20% - Accent4 5 2 2 8 2 2" xfId="28469"/>
    <cellStyle name="20% - Accent4 5 2 2 8 3" xfId="19130"/>
    <cellStyle name="20% - Accent4 5 2 2 9" xfId="1808"/>
    <cellStyle name="20% - Accent4 5 2 2 9 2" xfId="16297"/>
    <cellStyle name="20% - Accent4 5 2 2 9 2 2" xfId="29704"/>
    <cellStyle name="20% - Accent4 5 2 2 9 3" xfId="19131"/>
    <cellStyle name="20% - Accent4 5 2 3" xfId="1809"/>
    <cellStyle name="20% - Accent4 5 2 3 2" xfId="1810"/>
    <cellStyle name="20% - Accent4 5 2 3 2 2" xfId="10806"/>
    <cellStyle name="20% - Accent4 5 2 3 2 2 2" xfId="24748"/>
    <cellStyle name="20% - Accent4 5 2 3 2 3" xfId="19133"/>
    <cellStyle name="20% - Accent4 5 2 3 3" xfId="1811"/>
    <cellStyle name="20% - Accent4 5 2 3 3 2" xfId="12529"/>
    <cellStyle name="20% - Accent4 5 2 3 3 2 2" xfId="26241"/>
    <cellStyle name="20% - Accent4 5 2 3 3 3" xfId="19134"/>
    <cellStyle name="20% - Accent4 5 2 3 4" xfId="1812"/>
    <cellStyle name="20% - Accent4 5 2 3 4 2" xfId="14923"/>
    <cellStyle name="20% - Accent4 5 2 3 4 2 2" xfId="28472"/>
    <cellStyle name="20% - Accent4 5 2 3 4 3" xfId="19135"/>
    <cellStyle name="20% - Accent4 5 2 3 5" xfId="1813"/>
    <cellStyle name="20% - Accent4 5 2 3 5 2" xfId="16589"/>
    <cellStyle name="20% - Accent4 5 2 3 5 2 2" xfId="29996"/>
    <cellStyle name="20% - Accent4 5 2 3 5 3" xfId="19136"/>
    <cellStyle name="20% - Accent4 5 2 3 6" xfId="9081"/>
    <cellStyle name="20% - Accent4 5 2 3 6 2" xfId="23556"/>
    <cellStyle name="20% - Accent4 5 2 3 7" xfId="19132"/>
    <cellStyle name="20% - Accent4 5 2 4" xfId="1814"/>
    <cellStyle name="20% - Accent4 5 2 4 2" xfId="1815"/>
    <cellStyle name="20% - Accent4 5 2 4 2 2" xfId="14924"/>
    <cellStyle name="20% - Accent4 5 2 4 2 2 2" xfId="28473"/>
    <cellStyle name="20% - Accent4 5 2 4 2 3" xfId="19138"/>
    <cellStyle name="20% - Accent4 5 2 4 3" xfId="10803"/>
    <cellStyle name="20% - Accent4 5 2 4 3 2" xfId="24745"/>
    <cellStyle name="20% - Accent4 5 2 4 4" xfId="19137"/>
    <cellStyle name="20% - Accent4 5 2 5" xfId="1816"/>
    <cellStyle name="20% - Accent4 5 2 5 2" xfId="11966"/>
    <cellStyle name="20% - Accent4 5 2 5 2 2" xfId="25681"/>
    <cellStyle name="20% - Accent4 5 2 5 3" xfId="19139"/>
    <cellStyle name="20% - Accent4 5 2 6" xfId="1817"/>
    <cellStyle name="20% - Accent4 5 2 6 2" xfId="12715"/>
    <cellStyle name="20% - Accent4 5 2 6 2 2" xfId="26427"/>
    <cellStyle name="20% - Accent4 5 2 6 3" xfId="19140"/>
    <cellStyle name="20% - Accent4 5 2 7" xfId="1818"/>
    <cellStyle name="20% - Accent4 5 2 7 2" xfId="13541"/>
    <cellStyle name="20% - Accent4 5 2 7 2 2" xfId="27090"/>
    <cellStyle name="20% - Accent4 5 2 7 3" xfId="19141"/>
    <cellStyle name="20% - Accent4 5 2 8" xfId="1819"/>
    <cellStyle name="20% - Accent4 5 2 8 2" xfId="14122"/>
    <cellStyle name="20% - Accent4 5 2 8 2 2" xfId="27671"/>
    <cellStyle name="20% - Accent4 5 2 8 3" xfId="19142"/>
    <cellStyle name="20% - Accent4 5 2 9" xfId="1820"/>
    <cellStyle name="20% - Accent4 5 2 9 2" xfId="14919"/>
    <cellStyle name="20% - Accent4 5 2 9 2 2" xfId="28468"/>
    <cellStyle name="20% - Accent4 5 2 9 3" xfId="19143"/>
    <cellStyle name="20% - Accent4 5 3" xfId="1821"/>
    <cellStyle name="20% - Accent4 5 3 10" xfId="9082"/>
    <cellStyle name="20% - Accent4 5 3 10 2" xfId="23557"/>
    <cellStyle name="20% - Accent4 5 3 11" xfId="19144"/>
    <cellStyle name="20% - Accent4 5 3 2" xfId="1822"/>
    <cellStyle name="20% - Accent4 5 3 2 2" xfId="1823"/>
    <cellStyle name="20% - Accent4 5 3 2 2 2" xfId="10808"/>
    <cellStyle name="20% - Accent4 5 3 2 2 2 2" xfId="24750"/>
    <cellStyle name="20% - Accent4 5 3 2 2 3" xfId="19146"/>
    <cellStyle name="20% - Accent4 5 3 2 3" xfId="1824"/>
    <cellStyle name="20% - Accent4 5 3 2 3 2" xfId="12536"/>
    <cellStyle name="20% - Accent4 5 3 2 3 2 2" xfId="26248"/>
    <cellStyle name="20% - Accent4 5 3 2 3 3" xfId="19147"/>
    <cellStyle name="20% - Accent4 5 3 2 4" xfId="1825"/>
    <cellStyle name="20% - Accent4 5 3 2 4 2" xfId="14926"/>
    <cellStyle name="20% - Accent4 5 3 2 4 2 2" xfId="28475"/>
    <cellStyle name="20% - Accent4 5 3 2 4 3" xfId="19148"/>
    <cellStyle name="20% - Accent4 5 3 2 5" xfId="1826"/>
    <cellStyle name="20% - Accent4 5 3 2 5 2" xfId="16738"/>
    <cellStyle name="20% - Accent4 5 3 2 5 2 2" xfId="30145"/>
    <cellStyle name="20% - Accent4 5 3 2 5 3" xfId="19149"/>
    <cellStyle name="20% - Accent4 5 3 2 6" xfId="9083"/>
    <cellStyle name="20% - Accent4 5 3 2 6 2" xfId="23558"/>
    <cellStyle name="20% - Accent4 5 3 2 7" xfId="19145"/>
    <cellStyle name="20% - Accent4 5 3 3" xfId="1827"/>
    <cellStyle name="20% - Accent4 5 3 3 2" xfId="1828"/>
    <cellStyle name="20% - Accent4 5 3 3 2 2" xfId="14927"/>
    <cellStyle name="20% - Accent4 5 3 3 2 2 2" xfId="28476"/>
    <cellStyle name="20% - Accent4 5 3 3 2 3" xfId="19151"/>
    <cellStyle name="20% - Accent4 5 3 3 3" xfId="10807"/>
    <cellStyle name="20% - Accent4 5 3 3 3 2" xfId="24749"/>
    <cellStyle name="20% - Accent4 5 3 3 4" xfId="19150"/>
    <cellStyle name="20% - Accent4 5 3 4" xfId="1829"/>
    <cellStyle name="20% - Accent4 5 3 4 2" xfId="12126"/>
    <cellStyle name="20% - Accent4 5 3 4 2 2" xfId="25838"/>
    <cellStyle name="20% - Accent4 5 3 4 3" xfId="19152"/>
    <cellStyle name="20% - Accent4 5 3 5" xfId="1830"/>
    <cellStyle name="20% - Accent4 5 3 5 2" xfId="12563"/>
    <cellStyle name="20% - Accent4 5 3 5 2 2" xfId="26275"/>
    <cellStyle name="20% - Accent4 5 3 5 3" xfId="19153"/>
    <cellStyle name="20% - Accent4 5 3 6" xfId="1831"/>
    <cellStyle name="20% - Accent4 5 3 6 2" xfId="13690"/>
    <cellStyle name="20% - Accent4 5 3 6 2 2" xfId="27239"/>
    <cellStyle name="20% - Accent4 5 3 6 3" xfId="19154"/>
    <cellStyle name="20% - Accent4 5 3 7" xfId="1832"/>
    <cellStyle name="20% - Accent4 5 3 7 2" xfId="14271"/>
    <cellStyle name="20% - Accent4 5 3 7 2 2" xfId="27820"/>
    <cellStyle name="20% - Accent4 5 3 7 3" xfId="19155"/>
    <cellStyle name="20% - Accent4 5 3 8" xfId="1833"/>
    <cellStyle name="20% - Accent4 5 3 8 2" xfId="14925"/>
    <cellStyle name="20% - Accent4 5 3 8 2 2" xfId="28474"/>
    <cellStyle name="20% - Accent4 5 3 8 3" xfId="19156"/>
    <cellStyle name="20% - Accent4 5 3 9" xfId="1834"/>
    <cellStyle name="20% - Accent4 5 3 9 2" xfId="16157"/>
    <cellStyle name="20% - Accent4 5 3 9 2 2" xfId="29564"/>
    <cellStyle name="20% - Accent4 5 3 9 3" xfId="19157"/>
    <cellStyle name="20% - Accent4 5 4" xfId="1835"/>
    <cellStyle name="20% - Accent4 5 4 2" xfId="1836"/>
    <cellStyle name="20% - Accent4 5 4 2 2" xfId="10809"/>
    <cellStyle name="20% - Accent4 5 4 2 2 2" xfId="24751"/>
    <cellStyle name="20% - Accent4 5 4 2 3" xfId="19159"/>
    <cellStyle name="20% - Accent4 5 4 3" xfId="1837"/>
    <cellStyle name="20% - Accent4 5 4 3 2" xfId="12804"/>
    <cellStyle name="20% - Accent4 5 4 3 2 2" xfId="26516"/>
    <cellStyle name="20% - Accent4 5 4 3 3" xfId="19160"/>
    <cellStyle name="20% - Accent4 5 4 4" xfId="1838"/>
    <cellStyle name="20% - Accent4 5 4 4 2" xfId="14928"/>
    <cellStyle name="20% - Accent4 5 4 4 2 2" xfId="28477"/>
    <cellStyle name="20% - Accent4 5 4 4 3" xfId="19161"/>
    <cellStyle name="20% - Accent4 5 4 5" xfId="1839"/>
    <cellStyle name="20% - Accent4 5 4 5 2" xfId="16446"/>
    <cellStyle name="20% - Accent4 5 4 5 2 2" xfId="29853"/>
    <cellStyle name="20% - Accent4 5 4 5 3" xfId="19162"/>
    <cellStyle name="20% - Accent4 5 4 6" xfId="9084"/>
    <cellStyle name="20% - Accent4 5 4 6 2" xfId="23559"/>
    <cellStyle name="20% - Accent4 5 4 7" xfId="19158"/>
    <cellStyle name="20% - Accent4 5 5" xfId="1840"/>
    <cellStyle name="20% - Accent4 5 5 2" xfId="1841"/>
    <cellStyle name="20% - Accent4 5 5 2 2" xfId="14929"/>
    <cellStyle name="20% - Accent4 5 5 2 2 2" xfId="28478"/>
    <cellStyle name="20% - Accent4 5 5 2 3" xfId="19164"/>
    <cellStyle name="20% - Accent4 5 5 3" xfId="10802"/>
    <cellStyle name="20% - Accent4 5 5 3 2" xfId="24744"/>
    <cellStyle name="20% - Accent4 5 5 4" xfId="19163"/>
    <cellStyle name="20% - Accent4 5 6" xfId="1842"/>
    <cellStyle name="20% - Accent4 5 6 2" xfId="11797"/>
    <cellStyle name="20% - Accent4 5 6 2 2" xfId="25512"/>
    <cellStyle name="20% - Accent4 5 6 3" xfId="19165"/>
    <cellStyle name="20% - Accent4 5 7" xfId="1843"/>
    <cellStyle name="20% - Accent4 5 7 2" xfId="12717"/>
    <cellStyle name="20% - Accent4 5 7 2 2" xfId="26429"/>
    <cellStyle name="20% - Accent4 5 7 3" xfId="19166"/>
    <cellStyle name="20% - Accent4 5 8" xfId="1844"/>
    <cellStyle name="20% - Accent4 5 8 2" xfId="13398"/>
    <cellStyle name="20% - Accent4 5 8 2 2" xfId="26947"/>
    <cellStyle name="20% - Accent4 5 8 3" xfId="19167"/>
    <cellStyle name="20% - Accent4 5 9" xfId="1845"/>
    <cellStyle name="20% - Accent4 5 9 2" xfId="13979"/>
    <cellStyle name="20% - Accent4 5 9 2 2" xfId="27528"/>
    <cellStyle name="20% - Accent4 5 9 3" xfId="19168"/>
    <cellStyle name="20% - Accent4 6" xfId="1846"/>
    <cellStyle name="20% - Accent4 6 10" xfId="1847"/>
    <cellStyle name="20% - Accent4 6 10 2" xfId="14930"/>
    <cellStyle name="20% - Accent4 6 10 2 2" xfId="28479"/>
    <cellStyle name="20% - Accent4 6 10 3" xfId="19170"/>
    <cellStyle name="20% - Accent4 6 11" xfId="1848"/>
    <cellStyle name="20% - Accent4 6 11 2" xfId="15971"/>
    <cellStyle name="20% - Accent4 6 11 2 2" xfId="29378"/>
    <cellStyle name="20% - Accent4 6 11 3" xfId="19171"/>
    <cellStyle name="20% - Accent4 6 12" xfId="9085"/>
    <cellStyle name="20% - Accent4 6 12 2" xfId="23560"/>
    <cellStyle name="20% - Accent4 6 13" xfId="19169"/>
    <cellStyle name="20% - Accent4 6 2" xfId="1849"/>
    <cellStyle name="20% - Accent4 6 2 10" xfId="1850"/>
    <cellStyle name="20% - Accent4 6 2 10 2" xfId="16114"/>
    <cellStyle name="20% - Accent4 6 2 10 2 2" xfId="29521"/>
    <cellStyle name="20% - Accent4 6 2 10 3" xfId="19173"/>
    <cellStyle name="20% - Accent4 6 2 11" xfId="9086"/>
    <cellStyle name="20% - Accent4 6 2 11 2" xfId="23561"/>
    <cellStyle name="20% - Accent4 6 2 12" xfId="19172"/>
    <cellStyle name="20% - Accent4 6 2 2" xfId="1851"/>
    <cellStyle name="20% - Accent4 6 2 2 10" xfId="9087"/>
    <cellStyle name="20% - Accent4 6 2 2 10 2" xfId="23562"/>
    <cellStyle name="20% - Accent4 6 2 2 11" xfId="19174"/>
    <cellStyle name="20% - Accent4 6 2 2 2" xfId="1852"/>
    <cellStyle name="20% - Accent4 6 2 2 2 2" xfId="1853"/>
    <cellStyle name="20% - Accent4 6 2 2 2 2 2" xfId="10813"/>
    <cellStyle name="20% - Accent4 6 2 2 2 2 2 2" xfId="24755"/>
    <cellStyle name="20% - Accent4 6 2 2 2 2 3" xfId="19176"/>
    <cellStyle name="20% - Accent4 6 2 2 2 3" xfId="1854"/>
    <cellStyle name="20% - Accent4 6 2 2 2 3 2" xfId="12763"/>
    <cellStyle name="20% - Accent4 6 2 2 2 3 2 2" xfId="26475"/>
    <cellStyle name="20% - Accent4 6 2 2 2 3 3" xfId="19177"/>
    <cellStyle name="20% - Accent4 6 2 2 2 4" xfId="1855"/>
    <cellStyle name="20% - Accent4 6 2 2 2 4 2" xfId="14933"/>
    <cellStyle name="20% - Accent4 6 2 2 2 4 2 2" xfId="28482"/>
    <cellStyle name="20% - Accent4 6 2 2 2 4 3" xfId="19178"/>
    <cellStyle name="20% - Accent4 6 2 2 2 5" xfId="1856"/>
    <cellStyle name="20% - Accent4 6 2 2 2 5 2" xfId="16984"/>
    <cellStyle name="20% - Accent4 6 2 2 2 5 2 2" xfId="30391"/>
    <cellStyle name="20% - Accent4 6 2 2 2 5 3" xfId="19179"/>
    <cellStyle name="20% - Accent4 6 2 2 2 6" xfId="9088"/>
    <cellStyle name="20% - Accent4 6 2 2 2 6 2" xfId="23563"/>
    <cellStyle name="20% - Accent4 6 2 2 2 7" xfId="19175"/>
    <cellStyle name="20% - Accent4 6 2 2 3" xfId="1857"/>
    <cellStyle name="20% - Accent4 6 2 2 3 2" xfId="1858"/>
    <cellStyle name="20% - Accent4 6 2 2 3 2 2" xfId="14934"/>
    <cellStyle name="20% - Accent4 6 2 2 3 2 2 2" xfId="28483"/>
    <cellStyle name="20% - Accent4 6 2 2 3 2 3" xfId="19181"/>
    <cellStyle name="20% - Accent4 6 2 2 3 3" xfId="10812"/>
    <cellStyle name="20% - Accent4 6 2 2 3 3 2" xfId="24754"/>
    <cellStyle name="20% - Accent4 6 2 2 3 4" xfId="19180"/>
    <cellStyle name="20% - Accent4 6 2 2 4" xfId="1859"/>
    <cellStyle name="20% - Accent4 6 2 2 4 2" xfId="12372"/>
    <cellStyle name="20% - Accent4 6 2 2 4 2 2" xfId="26084"/>
    <cellStyle name="20% - Accent4 6 2 2 4 3" xfId="19182"/>
    <cellStyle name="20% - Accent4 6 2 2 5" xfId="1860"/>
    <cellStyle name="20% - Accent4 6 2 2 5 2" xfId="12414"/>
    <cellStyle name="20% - Accent4 6 2 2 5 2 2" xfId="26126"/>
    <cellStyle name="20% - Accent4 6 2 2 5 3" xfId="19183"/>
    <cellStyle name="20% - Accent4 6 2 2 6" xfId="1861"/>
    <cellStyle name="20% - Accent4 6 2 2 6 2" xfId="13936"/>
    <cellStyle name="20% - Accent4 6 2 2 6 2 2" xfId="27485"/>
    <cellStyle name="20% - Accent4 6 2 2 6 3" xfId="19184"/>
    <cellStyle name="20% - Accent4 6 2 2 7" xfId="1862"/>
    <cellStyle name="20% - Accent4 6 2 2 7 2" xfId="14517"/>
    <cellStyle name="20% - Accent4 6 2 2 7 2 2" xfId="28066"/>
    <cellStyle name="20% - Accent4 6 2 2 7 3" xfId="19185"/>
    <cellStyle name="20% - Accent4 6 2 2 8" xfId="1863"/>
    <cellStyle name="20% - Accent4 6 2 2 8 2" xfId="14932"/>
    <cellStyle name="20% - Accent4 6 2 2 8 2 2" xfId="28481"/>
    <cellStyle name="20% - Accent4 6 2 2 8 3" xfId="19186"/>
    <cellStyle name="20% - Accent4 6 2 2 9" xfId="1864"/>
    <cellStyle name="20% - Accent4 6 2 2 9 2" xfId="16403"/>
    <cellStyle name="20% - Accent4 6 2 2 9 2 2" xfId="29810"/>
    <cellStyle name="20% - Accent4 6 2 2 9 3" xfId="19187"/>
    <cellStyle name="20% - Accent4 6 2 3" xfId="1865"/>
    <cellStyle name="20% - Accent4 6 2 3 2" xfId="1866"/>
    <cellStyle name="20% - Accent4 6 2 3 2 2" xfId="10814"/>
    <cellStyle name="20% - Accent4 6 2 3 2 2 2" xfId="24756"/>
    <cellStyle name="20% - Accent4 6 2 3 2 3" xfId="19189"/>
    <cellStyle name="20% - Accent4 6 2 3 3" xfId="1867"/>
    <cellStyle name="20% - Accent4 6 2 3 3 2" xfId="12632"/>
    <cellStyle name="20% - Accent4 6 2 3 3 2 2" xfId="26344"/>
    <cellStyle name="20% - Accent4 6 2 3 3 3" xfId="19190"/>
    <cellStyle name="20% - Accent4 6 2 3 4" xfId="1868"/>
    <cellStyle name="20% - Accent4 6 2 3 4 2" xfId="14935"/>
    <cellStyle name="20% - Accent4 6 2 3 4 2 2" xfId="28484"/>
    <cellStyle name="20% - Accent4 6 2 3 4 3" xfId="19191"/>
    <cellStyle name="20% - Accent4 6 2 3 5" xfId="1869"/>
    <cellStyle name="20% - Accent4 6 2 3 5 2" xfId="16695"/>
    <cellStyle name="20% - Accent4 6 2 3 5 2 2" xfId="30102"/>
    <cellStyle name="20% - Accent4 6 2 3 5 3" xfId="19192"/>
    <cellStyle name="20% - Accent4 6 2 3 6" xfId="9089"/>
    <cellStyle name="20% - Accent4 6 2 3 6 2" xfId="23564"/>
    <cellStyle name="20% - Accent4 6 2 3 7" xfId="19188"/>
    <cellStyle name="20% - Accent4 6 2 4" xfId="1870"/>
    <cellStyle name="20% - Accent4 6 2 4 2" xfId="1871"/>
    <cellStyle name="20% - Accent4 6 2 4 2 2" xfId="14936"/>
    <cellStyle name="20% - Accent4 6 2 4 2 2 2" xfId="28485"/>
    <cellStyle name="20% - Accent4 6 2 4 2 3" xfId="19194"/>
    <cellStyle name="20% - Accent4 6 2 4 3" xfId="10811"/>
    <cellStyle name="20% - Accent4 6 2 4 3 2" xfId="24753"/>
    <cellStyle name="20% - Accent4 6 2 4 4" xfId="19193"/>
    <cellStyle name="20% - Accent4 6 2 5" xfId="1872"/>
    <cellStyle name="20% - Accent4 6 2 5 2" xfId="12072"/>
    <cellStyle name="20% - Accent4 6 2 5 2 2" xfId="25787"/>
    <cellStyle name="20% - Accent4 6 2 5 3" xfId="19195"/>
    <cellStyle name="20% - Accent4 6 2 6" xfId="1873"/>
    <cellStyle name="20% - Accent4 6 2 6 2" xfId="12702"/>
    <cellStyle name="20% - Accent4 6 2 6 2 2" xfId="26414"/>
    <cellStyle name="20% - Accent4 6 2 6 3" xfId="19196"/>
    <cellStyle name="20% - Accent4 6 2 7" xfId="1874"/>
    <cellStyle name="20% - Accent4 6 2 7 2" xfId="13647"/>
    <cellStyle name="20% - Accent4 6 2 7 2 2" xfId="27196"/>
    <cellStyle name="20% - Accent4 6 2 7 3" xfId="19197"/>
    <cellStyle name="20% - Accent4 6 2 8" xfId="1875"/>
    <cellStyle name="20% - Accent4 6 2 8 2" xfId="14228"/>
    <cellStyle name="20% - Accent4 6 2 8 2 2" xfId="27777"/>
    <cellStyle name="20% - Accent4 6 2 8 3" xfId="19198"/>
    <cellStyle name="20% - Accent4 6 2 9" xfId="1876"/>
    <cellStyle name="20% - Accent4 6 2 9 2" xfId="14931"/>
    <cellStyle name="20% - Accent4 6 2 9 2 2" xfId="28480"/>
    <cellStyle name="20% - Accent4 6 2 9 3" xfId="19199"/>
    <cellStyle name="20% - Accent4 6 3" xfId="1877"/>
    <cellStyle name="20% - Accent4 6 3 10" xfId="9090"/>
    <cellStyle name="20% - Accent4 6 3 10 2" xfId="23565"/>
    <cellStyle name="20% - Accent4 6 3 11" xfId="19200"/>
    <cellStyle name="20% - Accent4 6 3 2" xfId="1878"/>
    <cellStyle name="20% - Accent4 6 3 2 2" xfId="1879"/>
    <cellStyle name="20% - Accent4 6 3 2 2 2" xfId="10816"/>
    <cellStyle name="20% - Accent4 6 3 2 2 2 2" xfId="24758"/>
    <cellStyle name="20% - Accent4 6 3 2 2 3" xfId="19202"/>
    <cellStyle name="20% - Accent4 6 3 2 3" xfId="1880"/>
    <cellStyle name="20% - Accent4 6 3 2 3 2" xfId="12401"/>
    <cellStyle name="20% - Accent4 6 3 2 3 2 2" xfId="26113"/>
    <cellStyle name="20% - Accent4 6 3 2 3 3" xfId="19203"/>
    <cellStyle name="20% - Accent4 6 3 2 4" xfId="1881"/>
    <cellStyle name="20% - Accent4 6 3 2 4 2" xfId="14938"/>
    <cellStyle name="20% - Accent4 6 3 2 4 2 2" xfId="28487"/>
    <cellStyle name="20% - Accent4 6 3 2 4 3" xfId="19204"/>
    <cellStyle name="20% - Accent4 6 3 2 5" xfId="1882"/>
    <cellStyle name="20% - Accent4 6 3 2 5 2" xfId="16841"/>
    <cellStyle name="20% - Accent4 6 3 2 5 2 2" xfId="30248"/>
    <cellStyle name="20% - Accent4 6 3 2 5 3" xfId="19205"/>
    <cellStyle name="20% - Accent4 6 3 2 6" xfId="9091"/>
    <cellStyle name="20% - Accent4 6 3 2 6 2" xfId="23566"/>
    <cellStyle name="20% - Accent4 6 3 2 7" xfId="19201"/>
    <cellStyle name="20% - Accent4 6 3 3" xfId="1883"/>
    <cellStyle name="20% - Accent4 6 3 3 2" xfId="1884"/>
    <cellStyle name="20% - Accent4 6 3 3 2 2" xfId="14939"/>
    <cellStyle name="20% - Accent4 6 3 3 2 2 2" xfId="28488"/>
    <cellStyle name="20% - Accent4 6 3 3 2 3" xfId="19207"/>
    <cellStyle name="20% - Accent4 6 3 3 3" xfId="10815"/>
    <cellStyle name="20% - Accent4 6 3 3 3 2" xfId="24757"/>
    <cellStyle name="20% - Accent4 6 3 3 4" xfId="19206"/>
    <cellStyle name="20% - Accent4 6 3 4" xfId="1885"/>
    <cellStyle name="20% - Accent4 6 3 4 2" xfId="12229"/>
    <cellStyle name="20% - Accent4 6 3 4 2 2" xfId="25941"/>
    <cellStyle name="20% - Accent4 6 3 4 3" xfId="19208"/>
    <cellStyle name="20% - Accent4 6 3 5" xfId="1886"/>
    <cellStyle name="20% - Accent4 6 3 5 2" xfId="11788"/>
    <cellStyle name="20% - Accent4 6 3 5 2 2" xfId="25503"/>
    <cellStyle name="20% - Accent4 6 3 5 3" xfId="19209"/>
    <cellStyle name="20% - Accent4 6 3 6" xfId="1887"/>
    <cellStyle name="20% - Accent4 6 3 6 2" xfId="13793"/>
    <cellStyle name="20% - Accent4 6 3 6 2 2" xfId="27342"/>
    <cellStyle name="20% - Accent4 6 3 6 3" xfId="19210"/>
    <cellStyle name="20% - Accent4 6 3 7" xfId="1888"/>
    <cellStyle name="20% - Accent4 6 3 7 2" xfId="14374"/>
    <cellStyle name="20% - Accent4 6 3 7 2 2" xfId="27923"/>
    <cellStyle name="20% - Accent4 6 3 7 3" xfId="19211"/>
    <cellStyle name="20% - Accent4 6 3 8" xfId="1889"/>
    <cellStyle name="20% - Accent4 6 3 8 2" xfId="14937"/>
    <cellStyle name="20% - Accent4 6 3 8 2 2" xfId="28486"/>
    <cellStyle name="20% - Accent4 6 3 8 3" xfId="19212"/>
    <cellStyle name="20% - Accent4 6 3 9" xfId="1890"/>
    <cellStyle name="20% - Accent4 6 3 9 2" xfId="16260"/>
    <cellStyle name="20% - Accent4 6 3 9 2 2" xfId="29667"/>
    <cellStyle name="20% - Accent4 6 3 9 3" xfId="19213"/>
    <cellStyle name="20% - Accent4 6 4" xfId="1891"/>
    <cellStyle name="20% - Accent4 6 4 2" xfId="1892"/>
    <cellStyle name="20% - Accent4 6 4 2 2" xfId="10817"/>
    <cellStyle name="20% - Accent4 6 4 2 2 2" xfId="24759"/>
    <cellStyle name="20% - Accent4 6 4 2 3" xfId="19215"/>
    <cellStyle name="20% - Accent4 6 4 3" xfId="1893"/>
    <cellStyle name="20% - Accent4 6 4 3 2" xfId="12106"/>
    <cellStyle name="20% - Accent4 6 4 3 2 2" xfId="25818"/>
    <cellStyle name="20% - Accent4 6 4 3 3" xfId="19216"/>
    <cellStyle name="20% - Accent4 6 4 4" xfId="1894"/>
    <cellStyle name="20% - Accent4 6 4 4 2" xfId="14940"/>
    <cellStyle name="20% - Accent4 6 4 4 2 2" xfId="28489"/>
    <cellStyle name="20% - Accent4 6 4 4 3" xfId="19217"/>
    <cellStyle name="20% - Accent4 6 4 5" xfId="1895"/>
    <cellStyle name="20% - Accent4 6 4 5 2" xfId="16552"/>
    <cellStyle name="20% - Accent4 6 4 5 2 2" xfId="29959"/>
    <cellStyle name="20% - Accent4 6 4 5 3" xfId="19218"/>
    <cellStyle name="20% - Accent4 6 4 6" xfId="9092"/>
    <cellStyle name="20% - Accent4 6 4 6 2" xfId="23567"/>
    <cellStyle name="20% - Accent4 6 4 7" xfId="19214"/>
    <cellStyle name="20% - Accent4 6 5" xfId="1896"/>
    <cellStyle name="20% - Accent4 6 5 2" xfId="1897"/>
    <cellStyle name="20% - Accent4 6 5 2 2" xfId="14941"/>
    <cellStyle name="20% - Accent4 6 5 2 2 2" xfId="28490"/>
    <cellStyle name="20% - Accent4 6 5 2 3" xfId="19220"/>
    <cellStyle name="20% - Accent4 6 5 3" xfId="10810"/>
    <cellStyle name="20% - Accent4 6 5 3 2" xfId="24752"/>
    <cellStyle name="20% - Accent4 6 5 4" xfId="19219"/>
    <cellStyle name="20% - Accent4 6 6" xfId="1898"/>
    <cellStyle name="20% - Accent4 6 6 2" xfId="11927"/>
    <cellStyle name="20% - Accent4 6 6 2 2" xfId="25642"/>
    <cellStyle name="20% - Accent4 6 6 3" xfId="19221"/>
    <cellStyle name="20% - Accent4 6 7" xfId="1899"/>
    <cellStyle name="20% - Accent4 6 7 2" xfId="12407"/>
    <cellStyle name="20% - Accent4 6 7 2 2" xfId="26119"/>
    <cellStyle name="20% - Accent4 6 7 3" xfId="19222"/>
    <cellStyle name="20% - Accent4 6 8" xfId="1900"/>
    <cellStyle name="20% - Accent4 6 8 2" xfId="13504"/>
    <cellStyle name="20% - Accent4 6 8 2 2" xfId="27053"/>
    <cellStyle name="20% - Accent4 6 8 3" xfId="19223"/>
    <cellStyle name="20% - Accent4 6 9" xfId="1901"/>
    <cellStyle name="20% - Accent4 6 9 2" xfId="14085"/>
    <cellStyle name="20% - Accent4 6 9 2 2" xfId="27634"/>
    <cellStyle name="20% - Accent4 6 9 3" xfId="19224"/>
    <cellStyle name="20% - Accent4 7" xfId="1902"/>
    <cellStyle name="20% - Accent4 7 10" xfId="1903"/>
    <cellStyle name="20% - Accent4 7 10 2" xfId="15994"/>
    <cellStyle name="20% - Accent4 7 10 2 2" xfId="29401"/>
    <cellStyle name="20% - Accent4 7 10 3" xfId="19226"/>
    <cellStyle name="20% - Accent4 7 11" xfId="9093"/>
    <cellStyle name="20% - Accent4 7 11 2" xfId="23568"/>
    <cellStyle name="20% - Accent4 7 12" xfId="19225"/>
    <cellStyle name="20% - Accent4 7 2" xfId="1904"/>
    <cellStyle name="20% - Accent4 7 2 10" xfId="9094"/>
    <cellStyle name="20% - Accent4 7 2 10 2" xfId="23569"/>
    <cellStyle name="20% - Accent4 7 2 11" xfId="19227"/>
    <cellStyle name="20% - Accent4 7 2 2" xfId="1905"/>
    <cellStyle name="20% - Accent4 7 2 2 2" xfId="1906"/>
    <cellStyle name="20% - Accent4 7 2 2 2 2" xfId="10820"/>
    <cellStyle name="20% - Accent4 7 2 2 2 2 2" xfId="24762"/>
    <cellStyle name="20% - Accent4 7 2 2 2 3" xfId="19229"/>
    <cellStyle name="20% - Accent4 7 2 2 3" xfId="1907"/>
    <cellStyle name="20% - Accent4 7 2 2 3 2" xfId="12411"/>
    <cellStyle name="20% - Accent4 7 2 2 3 2 2" xfId="26123"/>
    <cellStyle name="20% - Accent4 7 2 2 3 3" xfId="19230"/>
    <cellStyle name="20% - Accent4 7 2 2 4" xfId="1908"/>
    <cellStyle name="20% - Accent4 7 2 2 4 2" xfId="14944"/>
    <cellStyle name="20% - Accent4 7 2 2 4 2 2" xfId="28493"/>
    <cellStyle name="20% - Accent4 7 2 2 4 3" xfId="19231"/>
    <cellStyle name="20% - Accent4 7 2 2 5" xfId="1909"/>
    <cellStyle name="20% - Accent4 7 2 2 5 2" xfId="16864"/>
    <cellStyle name="20% - Accent4 7 2 2 5 2 2" xfId="30271"/>
    <cellStyle name="20% - Accent4 7 2 2 5 3" xfId="19232"/>
    <cellStyle name="20% - Accent4 7 2 2 6" xfId="9095"/>
    <cellStyle name="20% - Accent4 7 2 2 6 2" xfId="23570"/>
    <cellStyle name="20% - Accent4 7 2 2 7" xfId="19228"/>
    <cellStyle name="20% - Accent4 7 2 3" xfId="1910"/>
    <cellStyle name="20% - Accent4 7 2 3 2" xfId="1911"/>
    <cellStyle name="20% - Accent4 7 2 3 2 2" xfId="14945"/>
    <cellStyle name="20% - Accent4 7 2 3 2 2 2" xfId="28494"/>
    <cellStyle name="20% - Accent4 7 2 3 2 3" xfId="19234"/>
    <cellStyle name="20% - Accent4 7 2 3 3" xfId="10819"/>
    <cellStyle name="20% - Accent4 7 2 3 3 2" xfId="24761"/>
    <cellStyle name="20% - Accent4 7 2 3 4" xfId="19233"/>
    <cellStyle name="20% - Accent4 7 2 4" xfId="1912"/>
    <cellStyle name="20% - Accent4 7 2 4 2" xfId="12252"/>
    <cellStyle name="20% - Accent4 7 2 4 2 2" xfId="25964"/>
    <cellStyle name="20% - Accent4 7 2 4 3" xfId="19235"/>
    <cellStyle name="20% - Accent4 7 2 5" xfId="1913"/>
    <cellStyle name="20% - Accent4 7 2 5 2" xfId="12733"/>
    <cellStyle name="20% - Accent4 7 2 5 2 2" xfId="26445"/>
    <cellStyle name="20% - Accent4 7 2 5 3" xfId="19236"/>
    <cellStyle name="20% - Accent4 7 2 6" xfId="1914"/>
    <cellStyle name="20% - Accent4 7 2 6 2" xfId="13816"/>
    <cellStyle name="20% - Accent4 7 2 6 2 2" xfId="27365"/>
    <cellStyle name="20% - Accent4 7 2 6 3" xfId="19237"/>
    <cellStyle name="20% - Accent4 7 2 7" xfId="1915"/>
    <cellStyle name="20% - Accent4 7 2 7 2" xfId="14397"/>
    <cellStyle name="20% - Accent4 7 2 7 2 2" xfId="27946"/>
    <cellStyle name="20% - Accent4 7 2 7 3" xfId="19238"/>
    <cellStyle name="20% - Accent4 7 2 8" xfId="1916"/>
    <cellStyle name="20% - Accent4 7 2 8 2" xfId="14943"/>
    <cellStyle name="20% - Accent4 7 2 8 2 2" xfId="28492"/>
    <cellStyle name="20% - Accent4 7 2 8 3" xfId="19239"/>
    <cellStyle name="20% - Accent4 7 2 9" xfId="1917"/>
    <cellStyle name="20% - Accent4 7 2 9 2" xfId="16283"/>
    <cellStyle name="20% - Accent4 7 2 9 2 2" xfId="29690"/>
    <cellStyle name="20% - Accent4 7 2 9 3" xfId="19240"/>
    <cellStyle name="20% - Accent4 7 3" xfId="1918"/>
    <cellStyle name="20% - Accent4 7 3 2" xfId="1919"/>
    <cellStyle name="20% - Accent4 7 3 2 2" xfId="10821"/>
    <cellStyle name="20% - Accent4 7 3 2 2 2" xfId="24763"/>
    <cellStyle name="20% - Accent4 7 3 2 3" xfId="19242"/>
    <cellStyle name="20% - Accent4 7 3 3" xfId="1920"/>
    <cellStyle name="20% - Accent4 7 3 3 2" xfId="12600"/>
    <cellStyle name="20% - Accent4 7 3 3 2 2" xfId="26312"/>
    <cellStyle name="20% - Accent4 7 3 3 3" xfId="19243"/>
    <cellStyle name="20% - Accent4 7 3 4" xfId="1921"/>
    <cellStyle name="20% - Accent4 7 3 4 2" xfId="14946"/>
    <cellStyle name="20% - Accent4 7 3 4 2 2" xfId="28495"/>
    <cellStyle name="20% - Accent4 7 3 4 3" xfId="19244"/>
    <cellStyle name="20% - Accent4 7 3 5" xfId="1922"/>
    <cellStyle name="20% - Accent4 7 3 5 2" xfId="16575"/>
    <cellStyle name="20% - Accent4 7 3 5 2 2" xfId="29982"/>
    <cellStyle name="20% - Accent4 7 3 5 3" xfId="19245"/>
    <cellStyle name="20% - Accent4 7 3 6" xfId="9096"/>
    <cellStyle name="20% - Accent4 7 3 6 2" xfId="23571"/>
    <cellStyle name="20% - Accent4 7 3 7" xfId="19241"/>
    <cellStyle name="20% - Accent4 7 4" xfId="1923"/>
    <cellStyle name="20% - Accent4 7 4 2" xfId="1924"/>
    <cellStyle name="20% - Accent4 7 4 2 2" xfId="14947"/>
    <cellStyle name="20% - Accent4 7 4 2 2 2" xfId="28496"/>
    <cellStyle name="20% - Accent4 7 4 2 3" xfId="19247"/>
    <cellStyle name="20% - Accent4 7 4 3" xfId="10818"/>
    <cellStyle name="20% - Accent4 7 4 3 2" xfId="24760"/>
    <cellStyle name="20% - Accent4 7 4 4" xfId="19246"/>
    <cellStyle name="20% - Accent4 7 5" xfId="1925"/>
    <cellStyle name="20% - Accent4 7 5 2" xfId="11950"/>
    <cellStyle name="20% - Accent4 7 5 2 2" xfId="25665"/>
    <cellStyle name="20% - Accent4 7 5 3" xfId="19248"/>
    <cellStyle name="20% - Accent4 7 6" xfId="1926"/>
    <cellStyle name="20% - Accent4 7 6 2" xfId="12761"/>
    <cellStyle name="20% - Accent4 7 6 2 2" xfId="26473"/>
    <cellStyle name="20% - Accent4 7 6 3" xfId="19249"/>
    <cellStyle name="20% - Accent4 7 7" xfId="1927"/>
    <cellStyle name="20% - Accent4 7 7 2" xfId="13527"/>
    <cellStyle name="20% - Accent4 7 7 2 2" xfId="27076"/>
    <cellStyle name="20% - Accent4 7 7 3" xfId="19250"/>
    <cellStyle name="20% - Accent4 7 8" xfId="1928"/>
    <cellStyle name="20% - Accent4 7 8 2" xfId="14108"/>
    <cellStyle name="20% - Accent4 7 8 2 2" xfId="27657"/>
    <cellStyle name="20% - Accent4 7 8 3" xfId="19251"/>
    <cellStyle name="20% - Accent4 7 9" xfId="1929"/>
    <cellStyle name="20% - Accent4 7 9 2" xfId="14942"/>
    <cellStyle name="20% - Accent4 7 9 2 2" xfId="28491"/>
    <cellStyle name="20% - Accent4 7 9 3" xfId="19252"/>
    <cellStyle name="20% - Accent4 8" xfId="1930"/>
    <cellStyle name="20% - Accent4 8 10" xfId="9097"/>
    <cellStyle name="20% - Accent4 8 10 2" xfId="23572"/>
    <cellStyle name="20% - Accent4 8 11" xfId="19253"/>
    <cellStyle name="20% - Accent4 8 2" xfId="1931"/>
    <cellStyle name="20% - Accent4 8 2 2" xfId="1932"/>
    <cellStyle name="20% - Accent4 8 2 2 2" xfId="10823"/>
    <cellStyle name="20% - Accent4 8 2 2 2 2" xfId="24765"/>
    <cellStyle name="20% - Accent4 8 2 2 3" xfId="19255"/>
    <cellStyle name="20% - Accent4 8 2 3" xfId="1933"/>
    <cellStyle name="20% - Accent4 8 2 3 2" xfId="12724"/>
    <cellStyle name="20% - Accent4 8 2 3 2 2" xfId="26436"/>
    <cellStyle name="20% - Accent4 8 2 3 3" xfId="19256"/>
    <cellStyle name="20% - Accent4 8 2 4" xfId="1934"/>
    <cellStyle name="20% - Accent4 8 2 4 2" xfId="14949"/>
    <cellStyle name="20% - Accent4 8 2 4 2 2" xfId="28498"/>
    <cellStyle name="20% - Accent4 8 2 4 3" xfId="19257"/>
    <cellStyle name="20% - Accent4 8 2 5" xfId="1935"/>
    <cellStyle name="20% - Accent4 8 2 5 2" xfId="16715"/>
    <cellStyle name="20% - Accent4 8 2 5 2 2" xfId="30122"/>
    <cellStyle name="20% - Accent4 8 2 5 3" xfId="19258"/>
    <cellStyle name="20% - Accent4 8 2 6" xfId="9098"/>
    <cellStyle name="20% - Accent4 8 2 6 2" xfId="23573"/>
    <cellStyle name="20% - Accent4 8 2 7" xfId="19254"/>
    <cellStyle name="20% - Accent4 8 3" xfId="1936"/>
    <cellStyle name="20% - Accent4 8 3 2" xfId="1937"/>
    <cellStyle name="20% - Accent4 8 3 2 2" xfId="14950"/>
    <cellStyle name="20% - Accent4 8 3 2 2 2" xfId="28499"/>
    <cellStyle name="20% - Accent4 8 3 2 3" xfId="19260"/>
    <cellStyle name="20% - Accent4 8 3 3" xfId="10822"/>
    <cellStyle name="20% - Accent4 8 3 3 2" xfId="24764"/>
    <cellStyle name="20% - Accent4 8 3 4" xfId="19259"/>
    <cellStyle name="20% - Accent4 8 4" xfId="1938"/>
    <cellStyle name="20% - Accent4 8 4 2" xfId="12093"/>
    <cellStyle name="20% - Accent4 8 4 2 2" xfId="25807"/>
    <cellStyle name="20% - Accent4 8 4 3" xfId="19261"/>
    <cellStyle name="20% - Accent4 8 5" xfId="1939"/>
    <cellStyle name="20% - Accent4 8 5 2" xfId="12500"/>
    <cellStyle name="20% - Accent4 8 5 2 2" xfId="26212"/>
    <cellStyle name="20% - Accent4 8 5 3" xfId="19262"/>
    <cellStyle name="20% - Accent4 8 6" xfId="1940"/>
    <cellStyle name="20% - Accent4 8 6 2" xfId="13667"/>
    <cellStyle name="20% - Accent4 8 6 2 2" xfId="27216"/>
    <cellStyle name="20% - Accent4 8 6 3" xfId="19263"/>
    <cellStyle name="20% - Accent4 8 7" xfId="1941"/>
    <cellStyle name="20% - Accent4 8 7 2" xfId="14248"/>
    <cellStyle name="20% - Accent4 8 7 2 2" xfId="27797"/>
    <cellStyle name="20% - Accent4 8 7 3" xfId="19264"/>
    <cellStyle name="20% - Accent4 8 8" xfId="1942"/>
    <cellStyle name="20% - Accent4 8 8 2" xfId="14948"/>
    <cellStyle name="20% - Accent4 8 8 2 2" xfId="28497"/>
    <cellStyle name="20% - Accent4 8 8 3" xfId="19265"/>
    <cellStyle name="20% - Accent4 8 9" xfId="1943"/>
    <cellStyle name="20% - Accent4 8 9 2" xfId="16134"/>
    <cellStyle name="20% - Accent4 8 9 2 2" xfId="29541"/>
    <cellStyle name="20% - Accent4 8 9 3" xfId="19266"/>
    <cellStyle name="20% - Accent4 9" xfId="1944"/>
    <cellStyle name="20% - Accent4 9 2" xfId="1945"/>
    <cellStyle name="20% - Accent4 9 2 2" xfId="10824"/>
    <cellStyle name="20% - Accent4 9 2 2 2" xfId="24766"/>
    <cellStyle name="20% - Accent4 9 2 3" xfId="19268"/>
    <cellStyle name="20% - Accent4 9 3" xfId="1946"/>
    <cellStyle name="20% - Accent4 9 3 2" xfId="12638"/>
    <cellStyle name="20% - Accent4 9 3 2 2" xfId="26350"/>
    <cellStyle name="20% - Accent4 9 3 3" xfId="19269"/>
    <cellStyle name="20% - Accent4 9 4" xfId="1947"/>
    <cellStyle name="20% - Accent4 9 4 2" xfId="14951"/>
    <cellStyle name="20% - Accent4 9 4 2 2" xfId="28500"/>
    <cellStyle name="20% - Accent4 9 4 3" xfId="19270"/>
    <cellStyle name="20% - Accent4 9 5" xfId="1948"/>
    <cellStyle name="20% - Accent4 9 5 2" xfId="17099"/>
    <cellStyle name="20% - Accent4 9 5 2 2" xfId="30458"/>
    <cellStyle name="20% - Accent4 9 5 3" xfId="19271"/>
    <cellStyle name="20% - Accent4 9 6" xfId="9099"/>
    <cellStyle name="20% - Accent4 9 6 2" xfId="23574"/>
    <cellStyle name="20% - Accent4 9 7" xfId="19267"/>
    <cellStyle name="20% - Accent5" xfId="43" builtinId="46" customBuiltin="1"/>
    <cellStyle name="20% - Accent5 10" xfId="1949"/>
    <cellStyle name="20% - Accent5 10 2" xfId="1950"/>
    <cellStyle name="20% - Accent5 10 2 2" xfId="12439"/>
    <cellStyle name="20% - Accent5 10 2 2 2" xfId="26151"/>
    <cellStyle name="20% - Accent5 10 2 3" xfId="19274"/>
    <cellStyle name="20% - Accent5 10 3" xfId="1951"/>
    <cellStyle name="20% - Accent5 10 3 2" xfId="14952"/>
    <cellStyle name="20% - Accent5 10 3 2 2" xfId="28501"/>
    <cellStyle name="20% - Accent5 10 3 3" xfId="19275"/>
    <cellStyle name="20% - Accent5 10 4" xfId="1952"/>
    <cellStyle name="20% - Accent5 10 4 2" xfId="17189"/>
    <cellStyle name="20% - Accent5 10 4 2 2" xfId="30548"/>
    <cellStyle name="20% - Accent5 10 4 3" xfId="19276"/>
    <cellStyle name="20% - Accent5 10 5" xfId="10507"/>
    <cellStyle name="20% - Accent5 10 5 2" xfId="24455"/>
    <cellStyle name="20% - Accent5 10 6" xfId="19273"/>
    <cellStyle name="20% - Accent5 11" xfId="1953"/>
    <cellStyle name="20% - Accent5 11 2" xfId="1954"/>
    <cellStyle name="20% - Accent5 11 2 2" xfId="12440"/>
    <cellStyle name="20% - Accent5 11 2 2 2" xfId="26152"/>
    <cellStyle name="20% - Accent5 11 2 3" xfId="19278"/>
    <cellStyle name="20% - Accent5 11 3" xfId="1955"/>
    <cellStyle name="20% - Accent5 11 3 2" xfId="14953"/>
    <cellStyle name="20% - Accent5 11 3 2 2" xfId="28502"/>
    <cellStyle name="20% - Accent5 11 3 3" xfId="19279"/>
    <cellStyle name="20% - Accent5 11 4" xfId="1956"/>
    <cellStyle name="20% - Accent5 11 4 2" xfId="17278"/>
    <cellStyle name="20% - Accent5 11 4 2 2" xfId="30637"/>
    <cellStyle name="20% - Accent5 11 4 3" xfId="19280"/>
    <cellStyle name="20% - Accent5 11 5" xfId="10825"/>
    <cellStyle name="20% - Accent5 11 5 2" xfId="24767"/>
    <cellStyle name="20% - Accent5 11 6" xfId="19277"/>
    <cellStyle name="20% - Accent5 12" xfId="1957"/>
    <cellStyle name="20% - Accent5 12 2" xfId="1958"/>
    <cellStyle name="20% - Accent5 12 2 2" xfId="16430"/>
    <cellStyle name="20% - Accent5 12 2 2 2" xfId="29837"/>
    <cellStyle name="20% - Accent5 12 2 3" xfId="19282"/>
    <cellStyle name="20% - Accent5 12 3" xfId="11743"/>
    <cellStyle name="20% - Accent5 12 3 2" xfId="25458"/>
    <cellStyle name="20% - Accent5 12 4" xfId="19281"/>
    <cellStyle name="20% - Accent5 13" xfId="1959"/>
    <cellStyle name="20% - Accent5 13 2" xfId="13382"/>
    <cellStyle name="20% - Accent5 13 2 2" xfId="26931"/>
    <cellStyle name="20% - Accent5 13 3" xfId="19283"/>
    <cellStyle name="20% - Accent5 14" xfId="1960"/>
    <cellStyle name="20% - Accent5 14 2" xfId="13963"/>
    <cellStyle name="20% - Accent5 14 2 2" xfId="27512"/>
    <cellStyle name="20% - Accent5 14 3" xfId="19284"/>
    <cellStyle name="20% - Accent5 15" xfId="1961"/>
    <cellStyle name="20% - Accent5 15 2" xfId="15836"/>
    <cellStyle name="20% - Accent5 15 2 2" xfId="29243"/>
    <cellStyle name="20% - Accent5 15 3" xfId="19285"/>
    <cellStyle name="20% - Accent5 16" xfId="1962"/>
    <cellStyle name="20% - Accent5 16 2" xfId="15849"/>
    <cellStyle name="20% - Accent5 16 2 2" xfId="29256"/>
    <cellStyle name="20% - Accent5 16 3" xfId="19286"/>
    <cellStyle name="20% - Accent5 17" xfId="8818"/>
    <cellStyle name="20% - Accent5 17 2" xfId="23294"/>
    <cellStyle name="20% - Accent5 18" xfId="19272"/>
    <cellStyle name="20% - Accent5 2" xfId="1963"/>
    <cellStyle name="20% - Accent5 2 10" xfId="1964"/>
    <cellStyle name="20% - Accent5 2 10 2" xfId="15910"/>
    <cellStyle name="20% - Accent5 2 10 2 2" xfId="29317"/>
    <cellStyle name="20% - Accent5 2 10 3" xfId="19288"/>
    <cellStyle name="20% - Accent5 2 11" xfId="9100"/>
    <cellStyle name="20% - Accent5 2 11 2" xfId="23575"/>
    <cellStyle name="20% - Accent5 2 12" xfId="19287"/>
    <cellStyle name="20% - Accent5 2 13" xfId="33078"/>
    <cellStyle name="20% - Accent5 2 2" xfId="1965"/>
    <cellStyle name="20% - Accent5 2 2 10" xfId="19289"/>
    <cellStyle name="20% - Accent5 2 2 2" xfId="1966"/>
    <cellStyle name="20% - Accent5 2 2 2 2" xfId="1967"/>
    <cellStyle name="20% - Accent5 2 2 2 2 2" xfId="1968"/>
    <cellStyle name="20% - Accent5 2 2 2 2 2 2" xfId="1969"/>
    <cellStyle name="20% - Accent5 2 2 2 2 2 2 2" xfId="16969"/>
    <cellStyle name="20% - Accent5 2 2 2 2 2 2 2 2" xfId="30376"/>
    <cellStyle name="20% - Accent5 2 2 2 2 2 2 3" xfId="19293"/>
    <cellStyle name="20% - Accent5 2 2 2 2 2 3" xfId="10829"/>
    <cellStyle name="20% - Accent5 2 2 2 2 2 3 2" xfId="24771"/>
    <cellStyle name="20% - Accent5 2 2 2 2 2 4" xfId="19292"/>
    <cellStyle name="20% - Accent5 2 2 2 2 3" xfId="1970"/>
    <cellStyle name="20% - Accent5 2 2 2 2 3 2" xfId="12357"/>
    <cellStyle name="20% - Accent5 2 2 2 2 3 2 2" xfId="26069"/>
    <cellStyle name="20% - Accent5 2 2 2 2 3 3" xfId="19294"/>
    <cellStyle name="20% - Accent5 2 2 2 2 4" xfId="1971"/>
    <cellStyle name="20% - Accent5 2 2 2 2 4 2" xfId="13921"/>
    <cellStyle name="20% - Accent5 2 2 2 2 4 2 2" xfId="27470"/>
    <cellStyle name="20% - Accent5 2 2 2 2 4 3" xfId="19295"/>
    <cellStyle name="20% - Accent5 2 2 2 2 5" xfId="1972"/>
    <cellStyle name="20% - Accent5 2 2 2 2 5 2" xfId="14502"/>
    <cellStyle name="20% - Accent5 2 2 2 2 5 2 2" xfId="28051"/>
    <cellStyle name="20% - Accent5 2 2 2 2 5 3" xfId="19296"/>
    <cellStyle name="20% - Accent5 2 2 2 2 6" xfId="1973"/>
    <cellStyle name="20% - Accent5 2 2 2 2 6 2" xfId="16388"/>
    <cellStyle name="20% - Accent5 2 2 2 2 6 2 2" xfId="29795"/>
    <cellStyle name="20% - Accent5 2 2 2 2 6 3" xfId="19297"/>
    <cellStyle name="20% - Accent5 2 2 2 2 7" xfId="9103"/>
    <cellStyle name="20% - Accent5 2 2 2 2 7 2" xfId="23578"/>
    <cellStyle name="20% - Accent5 2 2 2 2 8" xfId="19291"/>
    <cellStyle name="20% - Accent5 2 2 2 3" xfId="1974"/>
    <cellStyle name="20% - Accent5 2 2 2 3 2" xfId="1975"/>
    <cellStyle name="20% - Accent5 2 2 2 3 2 2" xfId="16680"/>
    <cellStyle name="20% - Accent5 2 2 2 3 2 2 2" xfId="30087"/>
    <cellStyle name="20% - Accent5 2 2 2 3 2 3" xfId="19299"/>
    <cellStyle name="20% - Accent5 2 2 2 3 3" xfId="10828"/>
    <cellStyle name="20% - Accent5 2 2 2 3 3 2" xfId="24770"/>
    <cellStyle name="20% - Accent5 2 2 2 3 4" xfId="19298"/>
    <cellStyle name="20% - Accent5 2 2 2 4" xfId="1976"/>
    <cellStyle name="20% - Accent5 2 2 2 4 2" xfId="12057"/>
    <cellStyle name="20% - Accent5 2 2 2 4 2 2" xfId="25772"/>
    <cellStyle name="20% - Accent5 2 2 2 4 3" xfId="19300"/>
    <cellStyle name="20% - Accent5 2 2 2 5" xfId="1977"/>
    <cellStyle name="20% - Accent5 2 2 2 5 2" xfId="13632"/>
    <cellStyle name="20% - Accent5 2 2 2 5 2 2" xfId="27181"/>
    <cellStyle name="20% - Accent5 2 2 2 5 3" xfId="19301"/>
    <cellStyle name="20% - Accent5 2 2 2 6" xfId="1978"/>
    <cellStyle name="20% - Accent5 2 2 2 6 2" xfId="14213"/>
    <cellStyle name="20% - Accent5 2 2 2 6 2 2" xfId="27762"/>
    <cellStyle name="20% - Accent5 2 2 2 6 3" xfId="19302"/>
    <cellStyle name="20% - Accent5 2 2 2 7" xfId="1979"/>
    <cellStyle name="20% - Accent5 2 2 2 7 2" xfId="16099"/>
    <cellStyle name="20% - Accent5 2 2 2 7 2 2" xfId="29506"/>
    <cellStyle name="20% - Accent5 2 2 2 7 3" xfId="19303"/>
    <cellStyle name="20% - Accent5 2 2 2 8" xfId="9102"/>
    <cellStyle name="20% - Accent5 2 2 2 8 2" xfId="23577"/>
    <cellStyle name="20% - Accent5 2 2 2 9" xfId="19290"/>
    <cellStyle name="20% - Accent5 2 2 3" xfId="1980"/>
    <cellStyle name="20% - Accent5 2 2 3 2" xfId="1981"/>
    <cellStyle name="20% - Accent5 2 2 3 2 2" xfId="1982"/>
    <cellStyle name="20% - Accent5 2 2 3 2 2 2" xfId="16826"/>
    <cellStyle name="20% - Accent5 2 2 3 2 2 2 2" xfId="30233"/>
    <cellStyle name="20% - Accent5 2 2 3 2 2 3" xfId="19306"/>
    <cellStyle name="20% - Accent5 2 2 3 2 3" xfId="10830"/>
    <cellStyle name="20% - Accent5 2 2 3 2 3 2" xfId="24772"/>
    <cellStyle name="20% - Accent5 2 2 3 2 4" xfId="19305"/>
    <cellStyle name="20% - Accent5 2 2 3 3" xfId="1983"/>
    <cellStyle name="20% - Accent5 2 2 3 3 2" xfId="12214"/>
    <cellStyle name="20% - Accent5 2 2 3 3 2 2" xfId="25926"/>
    <cellStyle name="20% - Accent5 2 2 3 3 3" xfId="19307"/>
    <cellStyle name="20% - Accent5 2 2 3 4" xfId="1984"/>
    <cellStyle name="20% - Accent5 2 2 3 4 2" xfId="13778"/>
    <cellStyle name="20% - Accent5 2 2 3 4 2 2" xfId="27327"/>
    <cellStyle name="20% - Accent5 2 2 3 4 3" xfId="19308"/>
    <cellStyle name="20% - Accent5 2 2 3 5" xfId="1985"/>
    <cellStyle name="20% - Accent5 2 2 3 5 2" xfId="14359"/>
    <cellStyle name="20% - Accent5 2 2 3 5 2 2" xfId="27908"/>
    <cellStyle name="20% - Accent5 2 2 3 5 3" xfId="19309"/>
    <cellStyle name="20% - Accent5 2 2 3 6" xfId="1986"/>
    <cellStyle name="20% - Accent5 2 2 3 6 2" xfId="16245"/>
    <cellStyle name="20% - Accent5 2 2 3 6 2 2" xfId="29652"/>
    <cellStyle name="20% - Accent5 2 2 3 6 3" xfId="19310"/>
    <cellStyle name="20% - Accent5 2 2 3 7" xfId="9104"/>
    <cellStyle name="20% - Accent5 2 2 3 7 2" xfId="23579"/>
    <cellStyle name="20% - Accent5 2 2 3 8" xfId="19304"/>
    <cellStyle name="20% - Accent5 2 2 4" xfId="1987"/>
    <cellStyle name="20% - Accent5 2 2 4 2" xfId="1988"/>
    <cellStyle name="20% - Accent5 2 2 4 2 2" xfId="17173"/>
    <cellStyle name="20% - Accent5 2 2 4 2 2 2" xfId="30532"/>
    <cellStyle name="20% - Accent5 2 2 4 2 3" xfId="19312"/>
    <cellStyle name="20% - Accent5 2 2 4 3" xfId="10827"/>
    <cellStyle name="20% - Accent5 2 2 4 3 2" xfId="24769"/>
    <cellStyle name="20% - Accent5 2 2 4 4" xfId="19311"/>
    <cellStyle name="20% - Accent5 2 2 5" xfId="1989"/>
    <cellStyle name="20% - Accent5 2 2 5 2" xfId="1990"/>
    <cellStyle name="20% - Accent5 2 2 5 2 2" xfId="17262"/>
    <cellStyle name="20% - Accent5 2 2 5 2 2 2" xfId="30621"/>
    <cellStyle name="20% - Accent5 2 2 5 2 3" xfId="19314"/>
    <cellStyle name="20% - Accent5 2 2 5 3" xfId="11912"/>
    <cellStyle name="20% - Accent5 2 2 5 3 2" xfId="25627"/>
    <cellStyle name="20% - Accent5 2 2 5 4" xfId="19313"/>
    <cellStyle name="20% - Accent5 2 2 6" xfId="1991"/>
    <cellStyle name="20% - Accent5 2 2 6 2" xfId="1992"/>
    <cellStyle name="20% - Accent5 2 2 6 2 2" xfId="16537"/>
    <cellStyle name="20% - Accent5 2 2 6 2 2 2" xfId="29944"/>
    <cellStyle name="20% - Accent5 2 2 6 2 3" xfId="19316"/>
    <cellStyle name="20% - Accent5 2 2 6 3" xfId="13489"/>
    <cellStyle name="20% - Accent5 2 2 6 3 2" xfId="27038"/>
    <cellStyle name="20% - Accent5 2 2 6 4" xfId="19315"/>
    <cellStyle name="20% - Accent5 2 2 7" xfId="1993"/>
    <cellStyle name="20% - Accent5 2 2 7 2" xfId="14070"/>
    <cellStyle name="20% - Accent5 2 2 7 2 2" xfId="27619"/>
    <cellStyle name="20% - Accent5 2 2 7 3" xfId="19317"/>
    <cellStyle name="20% - Accent5 2 2 8" xfId="1994"/>
    <cellStyle name="20% - Accent5 2 2 8 2" xfId="15956"/>
    <cellStyle name="20% - Accent5 2 2 8 2 2" xfId="29363"/>
    <cellStyle name="20% - Accent5 2 2 8 3" xfId="19318"/>
    <cellStyle name="20% - Accent5 2 2 9" xfId="9101"/>
    <cellStyle name="20% - Accent5 2 2 9 2" xfId="23576"/>
    <cellStyle name="20% - Accent5 2 3" xfId="1995"/>
    <cellStyle name="20% - Accent5 2 3 2" xfId="1996"/>
    <cellStyle name="20% - Accent5 2 3 2 2" xfId="1997"/>
    <cellStyle name="20% - Accent5 2 3 2 2 2" xfId="1998"/>
    <cellStyle name="20% - Accent5 2 3 2 2 2 2" xfId="16923"/>
    <cellStyle name="20% - Accent5 2 3 2 2 2 2 2" xfId="30330"/>
    <cellStyle name="20% - Accent5 2 3 2 2 2 3" xfId="19322"/>
    <cellStyle name="20% - Accent5 2 3 2 2 3" xfId="10832"/>
    <cellStyle name="20% - Accent5 2 3 2 2 3 2" xfId="24774"/>
    <cellStyle name="20% - Accent5 2 3 2 2 4" xfId="19321"/>
    <cellStyle name="20% - Accent5 2 3 2 3" xfId="1999"/>
    <cellStyle name="20% - Accent5 2 3 2 3 2" xfId="12311"/>
    <cellStyle name="20% - Accent5 2 3 2 3 2 2" xfId="26023"/>
    <cellStyle name="20% - Accent5 2 3 2 3 3" xfId="19323"/>
    <cellStyle name="20% - Accent5 2 3 2 4" xfId="2000"/>
    <cellStyle name="20% - Accent5 2 3 2 4 2" xfId="13875"/>
    <cellStyle name="20% - Accent5 2 3 2 4 2 2" xfId="27424"/>
    <cellStyle name="20% - Accent5 2 3 2 4 3" xfId="19324"/>
    <cellStyle name="20% - Accent5 2 3 2 5" xfId="2001"/>
    <cellStyle name="20% - Accent5 2 3 2 5 2" xfId="14456"/>
    <cellStyle name="20% - Accent5 2 3 2 5 2 2" xfId="28005"/>
    <cellStyle name="20% - Accent5 2 3 2 5 3" xfId="19325"/>
    <cellStyle name="20% - Accent5 2 3 2 6" xfId="2002"/>
    <cellStyle name="20% - Accent5 2 3 2 6 2" xfId="16342"/>
    <cellStyle name="20% - Accent5 2 3 2 6 2 2" xfId="29749"/>
    <cellStyle name="20% - Accent5 2 3 2 6 3" xfId="19326"/>
    <cellStyle name="20% - Accent5 2 3 2 7" xfId="9106"/>
    <cellStyle name="20% - Accent5 2 3 2 7 2" xfId="23581"/>
    <cellStyle name="20% - Accent5 2 3 2 8" xfId="19320"/>
    <cellStyle name="20% - Accent5 2 3 3" xfId="2003"/>
    <cellStyle name="20% - Accent5 2 3 3 2" xfId="2004"/>
    <cellStyle name="20% - Accent5 2 3 3 2 2" xfId="16634"/>
    <cellStyle name="20% - Accent5 2 3 3 2 2 2" xfId="30041"/>
    <cellStyle name="20% - Accent5 2 3 3 2 3" xfId="19328"/>
    <cellStyle name="20% - Accent5 2 3 3 3" xfId="10831"/>
    <cellStyle name="20% - Accent5 2 3 3 3 2" xfId="24773"/>
    <cellStyle name="20% - Accent5 2 3 3 4" xfId="19327"/>
    <cellStyle name="20% - Accent5 2 3 4" xfId="2005"/>
    <cellStyle name="20% - Accent5 2 3 4 2" xfId="12011"/>
    <cellStyle name="20% - Accent5 2 3 4 2 2" xfId="25726"/>
    <cellStyle name="20% - Accent5 2 3 4 3" xfId="19329"/>
    <cellStyle name="20% - Accent5 2 3 5" xfId="2006"/>
    <cellStyle name="20% - Accent5 2 3 5 2" xfId="13586"/>
    <cellStyle name="20% - Accent5 2 3 5 2 2" xfId="27135"/>
    <cellStyle name="20% - Accent5 2 3 5 3" xfId="19330"/>
    <cellStyle name="20% - Accent5 2 3 6" xfId="2007"/>
    <cellStyle name="20% - Accent5 2 3 6 2" xfId="14167"/>
    <cellStyle name="20% - Accent5 2 3 6 2 2" xfId="27716"/>
    <cellStyle name="20% - Accent5 2 3 6 3" xfId="19331"/>
    <cellStyle name="20% - Accent5 2 3 7" xfId="2008"/>
    <cellStyle name="20% - Accent5 2 3 7 2" xfId="16053"/>
    <cellStyle name="20% - Accent5 2 3 7 2 2" xfId="29460"/>
    <cellStyle name="20% - Accent5 2 3 7 3" xfId="19332"/>
    <cellStyle name="20% - Accent5 2 3 8" xfId="9105"/>
    <cellStyle name="20% - Accent5 2 3 8 2" xfId="23580"/>
    <cellStyle name="20% - Accent5 2 3 9" xfId="19319"/>
    <cellStyle name="20% - Accent5 2 4" xfId="2009"/>
    <cellStyle name="20% - Accent5 2 4 2" xfId="2010"/>
    <cellStyle name="20% - Accent5 2 4 2 2" xfId="2011"/>
    <cellStyle name="20% - Accent5 2 4 2 2 2" xfId="16780"/>
    <cellStyle name="20% - Accent5 2 4 2 2 2 2" xfId="30187"/>
    <cellStyle name="20% - Accent5 2 4 2 2 3" xfId="19335"/>
    <cellStyle name="20% - Accent5 2 4 2 3" xfId="10833"/>
    <cellStyle name="20% - Accent5 2 4 2 3 2" xfId="24775"/>
    <cellStyle name="20% - Accent5 2 4 2 4" xfId="19334"/>
    <cellStyle name="20% - Accent5 2 4 3" xfId="2012"/>
    <cellStyle name="20% - Accent5 2 4 3 2" xfId="12168"/>
    <cellStyle name="20% - Accent5 2 4 3 2 2" xfId="25880"/>
    <cellStyle name="20% - Accent5 2 4 3 3" xfId="19336"/>
    <cellStyle name="20% - Accent5 2 4 4" xfId="2013"/>
    <cellStyle name="20% - Accent5 2 4 4 2" xfId="13732"/>
    <cellStyle name="20% - Accent5 2 4 4 2 2" xfId="27281"/>
    <cellStyle name="20% - Accent5 2 4 4 3" xfId="19337"/>
    <cellStyle name="20% - Accent5 2 4 5" xfId="2014"/>
    <cellStyle name="20% - Accent5 2 4 5 2" xfId="14313"/>
    <cellStyle name="20% - Accent5 2 4 5 2 2" xfId="27862"/>
    <cellStyle name="20% - Accent5 2 4 5 3" xfId="19338"/>
    <cellStyle name="20% - Accent5 2 4 6" xfId="2015"/>
    <cellStyle name="20% - Accent5 2 4 6 2" xfId="16199"/>
    <cellStyle name="20% - Accent5 2 4 6 2 2" xfId="29606"/>
    <cellStyle name="20% - Accent5 2 4 6 3" xfId="19339"/>
    <cellStyle name="20% - Accent5 2 4 7" xfId="9107"/>
    <cellStyle name="20% - Accent5 2 4 7 2" xfId="23582"/>
    <cellStyle name="20% - Accent5 2 4 8" xfId="19333"/>
    <cellStyle name="20% - Accent5 2 5" xfId="2016"/>
    <cellStyle name="20% - Accent5 2 5 2" xfId="2017"/>
    <cellStyle name="20% - Accent5 2 5 2 2" xfId="12639"/>
    <cellStyle name="20% - Accent5 2 5 2 2 2" xfId="26351"/>
    <cellStyle name="20% - Accent5 2 5 2 3" xfId="19341"/>
    <cellStyle name="20% - Accent5 2 5 3" xfId="2018"/>
    <cellStyle name="20% - Accent5 2 5 3 2" xfId="14954"/>
    <cellStyle name="20% - Accent5 2 5 3 2 2" xfId="28503"/>
    <cellStyle name="20% - Accent5 2 5 3 3" xfId="19342"/>
    <cellStyle name="20% - Accent5 2 5 4" xfId="2019"/>
    <cellStyle name="20% - Accent5 2 5 4 2" xfId="17011"/>
    <cellStyle name="20% - Accent5 2 5 4 2 2" xfId="30418"/>
    <cellStyle name="20% - Accent5 2 5 4 3" xfId="19343"/>
    <cellStyle name="20% - Accent5 2 5 5" xfId="10532"/>
    <cellStyle name="20% - Accent5 2 5 5 2" xfId="24474"/>
    <cellStyle name="20% - Accent5 2 5 6" xfId="19340"/>
    <cellStyle name="20% - Accent5 2 6" xfId="2020"/>
    <cellStyle name="20% - Accent5 2 6 2" xfId="2021"/>
    <cellStyle name="20% - Accent5 2 6 2 2" xfId="12521"/>
    <cellStyle name="20% - Accent5 2 6 2 2 2" xfId="26233"/>
    <cellStyle name="20% - Accent5 2 6 2 3" xfId="19345"/>
    <cellStyle name="20% - Accent5 2 6 3" xfId="2022"/>
    <cellStyle name="20% - Accent5 2 6 3 2" xfId="14955"/>
    <cellStyle name="20% - Accent5 2 6 3 2 2" xfId="28504"/>
    <cellStyle name="20% - Accent5 2 6 3 3" xfId="19346"/>
    <cellStyle name="20% - Accent5 2 6 4" xfId="2023"/>
    <cellStyle name="20% - Accent5 2 6 4 2" xfId="17127"/>
    <cellStyle name="20% - Accent5 2 6 4 2 2" xfId="30486"/>
    <cellStyle name="20% - Accent5 2 6 4 3" xfId="19347"/>
    <cellStyle name="20% - Accent5 2 6 5" xfId="10826"/>
    <cellStyle name="20% - Accent5 2 6 5 2" xfId="24768"/>
    <cellStyle name="20% - Accent5 2 6 6" xfId="19344"/>
    <cellStyle name="20% - Accent5 2 7" xfId="2024"/>
    <cellStyle name="20% - Accent5 2 7 2" xfId="2025"/>
    <cellStyle name="20% - Accent5 2 7 2 2" xfId="17216"/>
    <cellStyle name="20% - Accent5 2 7 2 2 2" xfId="30575"/>
    <cellStyle name="20% - Accent5 2 7 2 3" xfId="19349"/>
    <cellStyle name="20% - Accent5 2 7 3" xfId="11845"/>
    <cellStyle name="20% - Accent5 2 7 3 2" xfId="25560"/>
    <cellStyle name="20% - Accent5 2 7 4" xfId="19348"/>
    <cellStyle name="20% - Accent5 2 8" xfId="2026"/>
    <cellStyle name="20% - Accent5 2 8 2" xfId="2027"/>
    <cellStyle name="20% - Accent5 2 8 2 2" xfId="16491"/>
    <cellStyle name="20% - Accent5 2 8 2 2 2" xfId="29898"/>
    <cellStyle name="20% - Accent5 2 8 2 3" xfId="19351"/>
    <cellStyle name="20% - Accent5 2 8 3" xfId="13443"/>
    <cellStyle name="20% - Accent5 2 8 3 2" xfId="26992"/>
    <cellStyle name="20% - Accent5 2 8 4" xfId="19350"/>
    <cellStyle name="20% - Accent5 2 9" xfId="2028"/>
    <cellStyle name="20% - Accent5 2 9 2" xfId="14024"/>
    <cellStyle name="20% - Accent5 2 9 2 2" xfId="27573"/>
    <cellStyle name="20% - Accent5 2 9 3" xfId="19352"/>
    <cellStyle name="20% - Accent5 3" xfId="2029"/>
    <cellStyle name="20% - Accent5 3 10" xfId="19353"/>
    <cellStyle name="20% - Accent5 3 2" xfId="2030"/>
    <cellStyle name="20% - Accent5 3 2 2" xfId="2031"/>
    <cellStyle name="20% - Accent5 3 2 2 2" xfId="2032"/>
    <cellStyle name="20% - Accent5 3 2 2 2 2" xfId="2033"/>
    <cellStyle name="20% - Accent5 3 2 2 2 2 2" xfId="16946"/>
    <cellStyle name="20% - Accent5 3 2 2 2 2 2 2" xfId="30353"/>
    <cellStyle name="20% - Accent5 3 2 2 2 2 3" xfId="19357"/>
    <cellStyle name="20% - Accent5 3 2 2 2 3" xfId="10836"/>
    <cellStyle name="20% - Accent5 3 2 2 2 3 2" xfId="24778"/>
    <cellStyle name="20% - Accent5 3 2 2 2 4" xfId="19356"/>
    <cellStyle name="20% - Accent5 3 2 2 3" xfId="2034"/>
    <cellStyle name="20% - Accent5 3 2 2 3 2" xfId="12334"/>
    <cellStyle name="20% - Accent5 3 2 2 3 2 2" xfId="26046"/>
    <cellStyle name="20% - Accent5 3 2 2 3 3" xfId="19358"/>
    <cellStyle name="20% - Accent5 3 2 2 4" xfId="2035"/>
    <cellStyle name="20% - Accent5 3 2 2 4 2" xfId="13898"/>
    <cellStyle name="20% - Accent5 3 2 2 4 2 2" xfId="27447"/>
    <cellStyle name="20% - Accent5 3 2 2 4 3" xfId="19359"/>
    <cellStyle name="20% - Accent5 3 2 2 5" xfId="2036"/>
    <cellStyle name="20% - Accent5 3 2 2 5 2" xfId="14479"/>
    <cellStyle name="20% - Accent5 3 2 2 5 2 2" xfId="28028"/>
    <cellStyle name="20% - Accent5 3 2 2 5 3" xfId="19360"/>
    <cellStyle name="20% - Accent5 3 2 2 6" xfId="2037"/>
    <cellStyle name="20% - Accent5 3 2 2 6 2" xfId="16365"/>
    <cellStyle name="20% - Accent5 3 2 2 6 2 2" xfId="29772"/>
    <cellStyle name="20% - Accent5 3 2 2 6 3" xfId="19361"/>
    <cellStyle name="20% - Accent5 3 2 2 7" xfId="9110"/>
    <cellStyle name="20% - Accent5 3 2 2 7 2" xfId="23585"/>
    <cellStyle name="20% - Accent5 3 2 2 8" xfId="19355"/>
    <cellStyle name="20% - Accent5 3 2 3" xfId="2038"/>
    <cellStyle name="20% - Accent5 3 2 3 2" xfId="2039"/>
    <cellStyle name="20% - Accent5 3 2 3 2 2" xfId="16657"/>
    <cellStyle name="20% - Accent5 3 2 3 2 2 2" xfId="30064"/>
    <cellStyle name="20% - Accent5 3 2 3 2 3" xfId="19363"/>
    <cellStyle name="20% - Accent5 3 2 3 3" xfId="10835"/>
    <cellStyle name="20% - Accent5 3 2 3 3 2" xfId="24777"/>
    <cellStyle name="20% - Accent5 3 2 3 4" xfId="19362"/>
    <cellStyle name="20% - Accent5 3 2 4" xfId="2040"/>
    <cellStyle name="20% - Accent5 3 2 4 2" xfId="12034"/>
    <cellStyle name="20% - Accent5 3 2 4 2 2" xfId="25749"/>
    <cellStyle name="20% - Accent5 3 2 4 3" xfId="19364"/>
    <cellStyle name="20% - Accent5 3 2 5" xfId="2041"/>
    <cellStyle name="20% - Accent5 3 2 5 2" xfId="13609"/>
    <cellStyle name="20% - Accent5 3 2 5 2 2" xfId="27158"/>
    <cellStyle name="20% - Accent5 3 2 5 3" xfId="19365"/>
    <cellStyle name="20% - Accent5 3 2 6" xfId="2042"/>
    <cellStyle name="20% - Accent5 3 2 6 2" xfId="14190"/>
    <cellStyle name="20% - Accent5 3 2 6 2 2" xfId="27739"/>
    <cellStyle name="20% - Accent5 3 2 6 3" xfId="19366"/>
    <cellStyle name="20% - Accent5 3 2 7" xfId="2043"/>
    <cellStyle name="20% - Accent5 3 2 7 2" xfId="16076"/>
    <cellStyle name="20% - Accent5 3 2 7 2 2" xfId="29483"/>
    <cellStyle name="20% - Accent5 3 2 7 3" xfId="19367"/>
    <cellStyle name="20% - Accent5 3 2 8" xfId="9109"/>
    <cellStyle name="20% - Accent5 3 2 8 2" xfId="23584"/>
    <cellStyle name="20% - Accent5 3 2 9" xfId="19354"/>
    <cellStyle name="20% - Accent5 3 3" xfId="2044"/>
    <cellStyle name="20% - Accent5 3 3 2" xfId="2045"/>
    <cellStyle name="20% - Accent5 3 3 2 2" xfId="2046"/>
    <cellStyle name="20% - Accent5 3 3 2 2 2" xfId="16803"/>
    <cellStyle name="20% - Accent5 3 3 2 2 2 2" xfId="30210"/>
    <cellStyle name="20% - Accent5 3 3 2 2 3" xfId="19370"/>
    <cellStyle name="20% - Accent5 3 3 2 3" xfId="10837"/>
    <cellStyle name="20% - Accent5 3 3 2 3 2" xfId="24779"/>
    <cellStyle name="20% - Accent5 3 3 2 4" xfId="19369"/>
    <cellStyle name="20% - Accent5 3 3 3" xfId="2047"/>
    <cellStyle name="20% - Accent5 3 3 3 2" xfId="12191"/>
    <cellStyle name="20% - Accent5 3 3 3 2 2" xfId="25903"/>
    <cellStyle name="20% - Accent5 3 3 3 3" xfId="19371"/>
    <cellStyle name="20% - Accent5 3 3 4" xfId="2048"/>
    <cellStyle name="20% - Accent5 3 3 4 2" xfId="13755"/>
    <cellStyle name="20% - Accent5 3 3 4 2 2" xfId="27304"/>
    <cellStyle name="20% - Accent5 3 3 4 3" xfId="19372"/>
    <cellStyle name="20% - Accent5 3 3 5" xfId="2049"/>
    <cellStyle name="20% - Accent5 3 3 5 2" xfId="14336"/>
    <cellStyle name="20% - Accent5 3 3 5 2 2" xfId="27885"/>
    <cellStyle name="20% - Accent5 3 3 5 3" xfId="19373"/>
    <cellStyle name="20% - Accent5 3 3 6" xfId="2050"/>
    <cellStyle name="20% - Accent5 3 3 6 2" xfId="16222"/>
    <cellStyle name="20% - Accent5 3 3 6 2 2" xfId="29629"/>
    <cellStyle name="20% - Accent5 3 3 6 3" xfId="19374"/>
    <cellStyle name="20% - Accent5 3 3 7" xfId="9111"/>
    <cellStyle name="20% - Accent5 3 3 7 2" xfId="23586"/>
    <cellStyle name="20% - Accent5 3 3 8" xfId="19368"/>
    <cellStyle name="20% - Accent5 3 4" xfId="2051"/>
    <cellStyle name="20% - Accent5 3 4 2" xfId="2052"/>
    <cellStyle name="20% - Accent5 3 4 2 2" xfId="17150"/>
    <cellStyle name="20% - Accent5 3 4 2 2 2" xfId="30509"/>
    <cellStyle name="20% - Accent5 3 4 2 3" xfId="19376"/>
    <cellStyle name="20% - Accent5 3 4 3" xfId="10834"/>
    <cellStyle name="20% - Accent5 3 4 3 2" xfId="24776"/>
    <cellStyle name="20% - Accent5 3 4 4" xfId="19375"/>
    <cellStyle name="20% - Accent5 3 5" xfId="2053"/>
    <cellStyle name="20% - Accent5 3 5 2" xfId="2054"/>
    <cellStyle name="20% - Accent5 3 5 2 2" xfId="17239"/>
    <cellStyle name="20% - Accent5 3 5 2 2 2" xfId="30598"/>
    <cellStyle name="20% - Accent5 3 5 2 3" xfId="19378"/>
    <cellStyle name="20% - Accent5 3 5 3" xfId="11886"/>
    <cellStyle name="20% - Accent5 3 5 3 2" xfId="25601"/>
    <cellStyle name="20% - Accent5 3 5 4" xfId="19377"/>
    <cellStyle name="20% - Accent5 3 6" xfId="2055"/>
    <cellStyle name="20% - Accent5 3 6 2" xfId="2056"/>
    <cellStyle name="20% - Accent5 3 6 2 2" xfId="16514"/>
    <cellStyle name="20% - Accent5 3 6 2 2 2" xfId="29921"/>
    <cellStyle name="20% - Accent5 3 6 2 3" xfId="19380"/>
    <cellStyle name="20% - Accent5 3 6 3" xfId="13466"/>
    <cellStyle name="20% - Accent5 3 6 3 2" xfId="27015"/>
    <cellStyle name="20% - Accent5 3 6 4" xfId="19379"/>
    <cellStyle name="20% - Accent5 3 7" xfId="2057"/>
    <cellStyle name="20% - Accent5 3 7 2" xfId="14047"/>
    <cellStyle name="20% - Accent5 3 7 2 2" xfId="27596"/>
    <cellStyle name="20% - Accent5 3 7 3" xfId="19381"/>
    <cellStyle name="20% - Accent5 3 8" xfId="2058"/>
    <cellStyle name="20% - Accent5 3 8 2" xfId="15933"/>
    <cellStyle name="20% - Accent5 3 8 2 2" xfId="29340"/>
    <cellStyle name="20% - Accent5 3 8 3" xfId="19382"/>
    <cellStyle name="20% - Accent5 3 9" xfId="9108"/>
    <cellStyle name="20% - Accent5 3 9 2" xfId="23583"/>
    <cellStyle name="20% - Accent5 4" xfId="2059"/>
    <cellStyle name="20% - Accent5 4 10" xfId="19383"/>
    <cellStyle name="20% - Accent5 4 2" xfId="2060"/>
    <cellStyle name="20% - Accent5 4 2 2" xfId="2061"/>
    <cellStyle name="20% - Accent5 4 2 2 2" xfId="2062"/>
    <cellStyle name="20% - Accent5 4 2 2 2 2" xfId="2063"/>
    <cellStyle name="20% - Accent5 4 2 2 2 2 2" xfId="16896"/>
    <cellStyle name="20% - Accent5 4 2 2 2 2 2 2" xfId="30303"/>
    <cellStyle name="20% - Accent5 4 2 2 2 2 3" xfId="19387"/>
    <cellStyle name="20% - Accent5 4 2 2 2 3" xfId="10840"/>
    <cellStyle name="20% - Accent5 4 2 2 2 3 2" xfId="24782"/>
    <cellStyle name="20% - Accent5 4 2 2 2 4" xfId="19386"/>
    <cellStyle name="20% - Accent5 4 2 2 3" xfId="2064"/>
    <cellStyle name="20% - Accent5 4 2 2 3 2" xfId="12284"/>
    <cellStyle name="20% - Accent5 4 2 2 3 2 2" xfId="25996"/>
    <cellStyle name="20% - Accent5 4 2 2 3 3" xfId="19388"/>
    <cellStyle name="20% - Accent5 4 2 2 4" xfId="2065"/>
    <cellStyle name="20% - Accent5 4 2 2 4 2" xfId="13848"/>
    <cellStyle name="20% - Accent5 4 2 2 4 2 2" xfId="27397"/>
    <cellStyle name="20% - Accent5 4 2 2 4 3" xfId="19389"/>
    <cellStyle name="20% - Accent5 4 2 2 5" xfId="2066"/>
    <cellStyle name="20% - Accent5 4 2 2 5 2" xfId="14429"/>
    <cellStyle name="20% - Accent5 4 2 2 5 2 2" xfId="27978"/>
    <cellStyle name="20% - Accent5 4 2 2 5 3" xfId="19390"/>
    <cellStyle name="20% - Accent5 4 2 2 6" xfId="2067"/>
    <cellStyle name="20% - Accent5 4 2 2 6 2" xfId="16315"/>
    <cellStyle name="20% - Accent5 4 2 2 6 2 2" xfId="29722"/>
    <cellStyle name="20% - Accent5 4 2 2 6 3" xfId="19391"/>
    <cellStyle name="20% - Accent5 4 2 2 7" xfId="9114"/>
    <cellStyle name="20% - Accent5 4 2 2 7 2" xfId="23589"/>
    <cellStyle name="20% - Accent5 4 2 2 8" xfId="19385"/>
    <cellStyle name="20% - Accent5 4 2 3" xfId="2068"/>
    <cellStyle name="20% - Accent5 4 2 3 2" xfId="2069"/>
    <cellStyle name="20% - Accent5 4 2 3 2 2" xfId="16607"/>
    <cellStyle name="20% - Accent5 4 2 3 2 2 2" xfId="30014"/>
    <cellStyle name="20% - Accent5 4 2 3 2 3" xfId="19393"/>
    <cellStyle name="20% - Accent5 4 2 3 3" xfId="10839"/>
    <cellStyle name="20% - Accent5 4 2 3 3 2" xfId="24781"/>
    <cellStyle name="20% - Accent5 4 2 3 4" xfId="19392"/>
    <cellStyle name="20% - Accent5 4 2 4" xfId="2070"/>
    <cellStyle name="20% - Accent5 4 2 4 2" xfId="11984"/>
    <cellStyle name="20% - Accent5 4 2 4 2 2" xfId="25699"/>
    <cellStyle name="20% - Accent5 4 2 4 3" xfId="19394"/>
    <cellStyle name="20% - Accent5 4 2 5" xfId="2071"/>
    <cellStyle name="20% - Accent5 4 2 5 2" xfId="13559"/>
    <cellStyle name="20% - Accent5 4 2 5 2 2" xfId="27108"/>
    <cellStyle name="20% - Accent5 4 2 5 3" xfId="19395"/>
    <cellStyle name="20% - Accent5 4 2 6" xfId="2072"/>
    <cellStyle name="20% - Accent5 4 2 6 2" xfId="14140"/>
    <cellStyle name="20% - Accent5 4 2 6 2 2" xfId="27689"/>
    <cellStyle name="20% - Accent5 4 2 6 3" xfId="19396"/>
    <cellStyle name="20% - Accent5 4 2 7" xfId="2073"/>
    <cellStyle name="20% - Accent5 4 2 7 2" xfId="16026"/>
    <cellStyle name="20% - Accent5 4 2 7 2 2" xfId="29433"/>
    <cellStyle name="20% - Accent5 4 2 7 3" xfId="19397"/>
    <cellStyle name="20% - Accent5 4 2 8" xfId="9113"/>
    <cellStyle name="20% - Accent5 4 2 8 2" xfId="23588"/>
    <cellStyle name="20% - Accent5 4 2 9" xfId="19384"/>
    <cellStyle name="20% - Accent5 4 3" xfId="2074"/>
    <cellStyle name="20% - Accent5 4 3 2" xfId="2075"/>
    <cellStyle name="20% - Accent5 4 3 2 2" xfId="2076"/>
    <cellStyle name="20% - Accent5 4 3 2 2 2" xfId="16756"/>
    <cellStyle name="20% - Accent5 4 3 2 2 2 2" xfId="30163"/>
    <cellStyle name="20% - Accent5 4 3 2 2 3" xfId="19400"/>
    <cellStyle name="20% - Accent5 4 3 2 3" xfId="10841"/>
    <cellStyle name="20% - Accent5 4 3 2 3 2" xfId="24783"/>
    <cellStyle name="20% - Accent5 4 3 2 4" xfId="19399"/>
    <cellStyle name="20% - Accent5 4 3 3" xfId="2077"/>
    <cellStyle name="20% - Accent5 4 3 3 2" xfId="12144"/>
    <cellStyle name="20% - Accent5 4 3 3 2 2" xfId="25856"/>
    <cellStyle name="20% - Accent5 4 3 3 3" xfId="19401"/>
    <cellStyle name="20% - Accent5 4 3 4" xfId="2078"/>
    <cellStyle name="20% - Accent5 4 3 4 2" xfId="13708"/>
    <cellStyle name="20% - Accent5 4 3 4 2 2" xfId="27257"/>
    <cellStyle name="20% - Accent5 4 3 4 3" xfId="19402"/>
    <cellStyle name="20% - Accent5 4 3 5" xfId="2079"/>
    <cellStyle name="20% - Accent5 4 3 5 2" xfId="14289"/>
    <cellStyle name="20% - Accent5 4 3 5 2 2" xfId="27838"/>
    <cellStyle name="20% - Accent5 4 3 5 3" xfId="19403"/>
    <cellStyle name="20% - Accent5 4 3 6" xfId="2080"/>
    <cellStyle name="20% - Accent5 4 3 6 2" xfId="16175"/>
    <cellStyle name="20% - Accent5 4 3 6 2 2" xfId="29582"/>
    <cellStyle name="20% - Accent5 4 3 6 3" xfId="19404"/>
    <cellStyle name="20% - Accent5 4 3 7" xfId="9115"/>
    <cellStyle name="20% - Accent5 4 3 7 2" xfId="23590"/>
    <cellStyle name="20% - Accent5 4 3 8" xfId="19398"/>
    <cellStyle name="20% - Accent5 4 4" xfId="2081"/>
    <cellStyle name="20% - Accent5 4 4 2" xfId="2082"/>
    <cellStyle name="20% - Accent5 4 4 2 2" xfId="16464"/>
    <cellStyle name="20% - Accent5 4 4 2 2 2" xfId="29871"/>
    <cellStyle name="20% - Accent5 4 4 2 3" xfId="19406"/>
    <cellStyle name="20% - Accent5 4 4 3" xfId="10838"/>
    <cellStyle name="20% - Accent5 4 4 3 2" xfId="24780"/>
    <cellStyle name="20% - Accent5 4 4 4" xfId="19405"/>
    <cellStyle name="20% - Accent5 4 5" xfId="2083"/>
    <cellStyle name="20% - Accent5 4 5 2" xfId="11815"/>
    <cellStyle name="20% - Accent5 4 5 2 2" xfId="25530"/>
    <cellStyle name="20% - Accent5 4 5 3" xfId="19407"/>
    <cellStyle name="20% - Accent5 4 6" xfId="2084"/>
    <cellStyle name="20% - Accent5 4 6 2" xfId="13416"/>
    <cellStyle name="20% - Accent5 4 6 2 2" xfId="26965"/>
    <cellStyle name="20% - Accent5 4 6 3" xfId="19408"/>
    <cellStyle name="20% - Accent5 4 7" xfId="2085"/>
    <cellStyle name="20% - Accent5 4 7 2" xfId="13997"/>
    <cellStyle name="20% - Accent5 4 7 2 2" xfId="27546"/>
    <cellStyle name="20% - Accent5 4 7 3" xfId="19409"/>
    <cellStyle name="20% - Accent5 4 8" xfId="2086"/>
    <cellStyle name="20% - Accent5 4 8 2" xfId="15883"/>
    <cellStyle name="20% - Accent5 4 8 2 2" xfId="29290"/>
    <cellStyle name="20% - Accent5 4 8 3" xfId="19410"/>
    <cellStyle name="20% - Accent5 4 9" xfId="9112"/>
    <cellStyle name="20% - Accent5 4 9 2" xfId="23587"/>
    <cellStyle name="20% - Accent5 5" xfId="2087"/>
    <cellStyle name="20% - Accent5 5 10" xfId="19411"/>
    <cellStyle name="20% - Accent5 5 2" xfId="2088"/>
    <cellStyle name="20% - Accent5 5 2 2" xfId="2089"/>
    <cellStyle name="20% - Accent5 5 2 2 2" xfId="2090"/>
    <cellStyle name="20% - Accent5 5 2 2 2 2" xfId="2091"/>
    <cellStyle name="20% - Accent5 5 2 2 2 2 2" xfId="16879"/>
    <cellStyle name="20% - Accent5 5 2 2 2 2 2 2" xfId="30286"/>
    <cellStyle name="20% - Accent5 5 2 2 2 2 3" xfId="19415"/>
    <cellStyle name="20% - Accent5 5 2 2 2 3" xfId="10844"/>
    <cellStyle name="20% - Accent5 5 2 2 2 3 2" xfId="24786"/>
    <cellStyle name="20% - Accent5 5 2 2 2 4" xfId="19414"/>
    <cellStyle name="20% - Accent5 5 2 2 3" xfId="2092"/>
    <cellStyle name="20% - Accent5 5 2 2 3 2" xfId="12267"/>
    <cellStyle name="20% - Accent5 5 2 2 3 2 2" xfId="25979"/>
    <cellStyle name="20% - Accent5 5 2 2 3 3" xfId="19416"/>
    <cellStyle name="20% - Accent5 5 2 2 4" xfId="2093"/>
    <cellStyle name="20% - Accent5 5 2 2 4 2" xfId="13831"/>
    <cellStyle name="20% - Accent5 5 2 2 4 2 2" xfId="27380"/>
    <cellStyle name="20% - Accent5 5 2 2 4 3" xfId="19417"/>
    <cellStyle name="20% - Accent5 5 2 2 5" xfId="2094"/>
    <cellStyle name="20% - Accent5 5 2 2 5 2" xfId="14412"/>
    <cellStyle name="20% - Accent5 5 2 2 5 2 2" xfId="27961"/>
    <cellStyle name="20% - Accent5 5 2 2 5 3" xfId="19418"/>
    <cellStyle name="20% - Accent5 5 2 2 6" xfId="2095"/>
    <cellStyle name="20% - Accent5 5 2 2 6 2" xfId="16298"/>
    <cellStyle name="20% - Accent5 5 2 2 6 2 2" xfId="29705"/>
    <cellStyle name="20% - Accent5 5 2 2 6 3" xfId="19419"/>
    <cellStyle name="20% - Accent5 5 2 2 7" xfId="9118"/>
    <cellStyle name="20% - Accent5 5 2 2 7 2" xfId="23593"/>
    <cellStyle name="20% - Accent5 5 2 2 8" xfId="19413"/>
    <cellStyle name="20% - Accent5 5 2 3" xfId="2096"/>
    <cellStyle name="20% - Accent5 5 2 3 2" xfId="2097"/>
    <cellStyle name="20% - Accent5 5 2 3 2 2" xfId="16590"/>
    <cellStyle name="20% - Accent5 5 2 3 2 2 2" xfId="29997"/>
    <cellStyle name="20% - Accent5 5 2 3 2 3" xfId="19421"/>
    <cellStyle name="20% - Accent5 5 2 3 3" xfId="10843"/>
    <cellStyle name="20% - Accent5 5 2 3 3 2" xfId="24785"/>
    <cellStyle name="20% - Accent5 5 2 3 4" xfId="19420"/>
    <cellStyle name="20% - Accent5 5 2 4" xfId="2098"/>
    <cellStyle name="20% - Accent5 5 2 4 2" xfId="11967"/>
    <cellStyle name="20% - Accent5 5 2 4 2 2" xfId="25682"/>
    <cellStyle name="20% - Accent5 5 2 4 3" xfId="19422"/>
    <cellStyle name="20% - Accent5 5 2 5" xfId="2099"/>
    <cellStyle name="20% - Accent5 5 2 5 2" xfId="13542"/>
    <cellStyle name="20% - Accent5 5 2 5 2 2" xfId="27091"/>
    <cellStyle name="20% - Accent5 5 2 5 3" xfId="19423"/>
    <cellStyle name="20% - Accent5 5 2 6" xfId="2100"/>
    <cellStyle name="20% - Accent5 5 2 6 2" xfId="14123"/>
    <cellStyle name="20% - Accent5 5 2 6 2 2" xfId="27672"/>
    <cellStyle name="20% - Accent5 5 2 6 3" xfId="19424"/>
    <cellStyle name="20% - Accent5 5 2 7" xfId="2101"/>
    <cellStyle name="20% - Accent5 5 2 7 2" xfId="16009"/>
    <cellStyle name="20% - Accent5 5 2 7 2 2" xfId="29416"/>
    <cellStyle name="20% - Accent5 5 2 7 3" xfId="19425"/>
    <cellStyle name="20% - Accent5 5 2 8" xfId="9117"/>
    <cellStyle name="20% - Accent5 5 2 8 2" xfId="23592"/>
    <cellStyle name="20% - Accent5 5 2 9" xfId="19412"/>
    <cellStyle name="20% - Accent5 5 3" xfId="2102"/>
    <cellStyle name="20% - Accent5 5 3 2" xfId="2103"/>
    <cellStyle name="20% - Accent5 5 3 2 2" xfId="2104"/>
    <cellStyle name="20% - Accent5 5 3 2 2 2" xfId="16739"/>
    <cellStyle name="20% - Accent5 5 3 2 2 2 2" xfId="30146"/>
    <cellStyle name="20% - Accent5 5 3 2 2 3" xfId="19428"/>
    <cellStyle name="20% - Accent5 5 3 2 3" xfId="10845"/>
    <cellStyle name="20% - Accent5 5 3 2 3 2" xfId="24787"/>
    <cellStyle name="20% - Accent5 5 3 2 4" xfId="19427"/>
    <cellStyle name="20% - Accent5 5 3 3" xfId="2105"/>
    <cellStyle name="20% - Accent5 5 3 3 2" xfId="12127"/>
    <cellStyle name="20% - Accent5 5 3 3 2 2" xfId="25839"/>
    <cellStyle name="20% - Accent5 5 3 3 3" xfId="19429"/>
    <cellStyle name="20% - Accent5 5 3 4" xfId="2106"/>
    <cellStyle name="20% - Accent5 5 3 4 2" xfId="13691"/>
    <cellStyle name="20% - Accent5 5 3 4 2 2" xfId="27240"/>
    <cellStyle name="20% - Accent5 5 3 4 3" xfId="19430"/>
    <cellStyle name="20% - Accent5 5 3 5" xfId="2107"/>
    <cellStyle name="20% - Accent5 5 3 5 2" xfId="14272"/>
    <cellStyle name="20% - Accent5 5 3 5 2 2" xfId="27821"/>
    <cellStyle name="20% - Accent5 5 3 5 3" xfId="19431"/>
    <cellStyle name="20% - Accent5 5 3 6" xfId="2108"/>
    <cellStyle name="20% - Accent5 5 3 6 2" xfId="16158"/>
    <cellStyle name="20% - Accent5 5 3 6 2 2" xfId="29565"/>
    <cellStyle name="20% - Accent5 5 3 6 3" xfId="19432"/>
    <cellStyle name="20% - Accent5 5 3 7" xfId="9119"/>
    <cellStyle name="20% - Accent5 5 3 7 2" xfId="23594"/>
    <cellStyle name="20% - Accent5 5 3 8" xfId="19426"/>
    <cellStyle name="20% - Accent5 5 4" xfId="2109"/>
    <cellStyle name="20% - Accent5 5 4 2" xfId="2110"/>
    <cellStyle name="20% - Accent5 5 4 2 2" xfId="16447"/>
    <cellStyle name="20% - Accent5 5 4 2 2 2" xfId="29854"/>
    <cellStyle name="20% - Accent5 5 4 2 3" xfId="19434"/>
    <cellStyle name="20% - Accent5 5 4 3" xfId="10842"/>
    <cellStyle name="20% - Accent5 5 4 3 2" xfId="24784"/>
    <cellStyle name="20% - Accent5 5 4 4" xfId="19433"/>
    <cellStyle name="20% - Accent5 5 5" xfId="2111"/>
    <cellStyle name="20% - Accent5 5 5 2" xfId="11798"/>
    <cellStyle name="20% - Accent5 5 5 2 2" xfId="25513"/>
    <cellStyle name="20% - Accent5 5 5 3" xfId="19435"/>
    <cellStyle name="20% - Accent5 5 6" xfId="2112"/>
    <cellStyle name="20% - Accent5 5 6 2" xfId="13399"/>
    <cellStyle name="20% - Accent5 5 6 2 2" xfId="26948"/>
    <cellStyle name="20% - Accent5 5 6 3" xfId="19436"/>
    <cellStyle name="20% - Accent5 5 7" xfId="2113"/>
    <cellStyle name="20% - Accent5 5 7 2" xfId="13980"/>
    <cellStyle name="20% - Accent5 5 7 2 2" xfId="27529"/>
    <cellStyle name="20% - Accent5 5 7 3" xfId="19437"/>
    <cellStyle name="20% - Accent5 5 8" xfId="2114"/>
    <cellStyle name="20% - Accent5 5 8 2" xfId="15866"/>
    <cellStyle name="20% - Accent5 5 8 2 2" xfId="29273"/>
    <cellStyle name="20% - Accent5 5 8 3" xfId="19438"/>
    <cellStyle name="20% - Accent5 5 9" xfId="9116"/>
    <cellStyle name="20% - Accent5 5 9 2" xfId="23591"/>
    <cellStyle name="20% - Accent5 6" xfId="2115"/>
    <cellStyle name="20% - Accent5 6 10" xfId="19439"/>
    <cellStyle name="20% - Accent5 6 2" xfId="2116"/>
    <cellStyle name="20% - Accent5 6 2 2" xfId="2117"/>
    <cellStyle name="20% - Accent5 6 2 2 2" xfId="2118"/>
    <cellStyle name="20% - Accent5 6 2 2 2 2" xfId="2119"/>
    <cellStyle name="20% - Accent5 6 2 2 2 2 2" xfId="16985"/>
    <cellStyle name="20% - Accent5 6 2 2 2 2 2 2" xfId="30392"/>
    <cellStyle name="20% - Accent5 6 2 2 2 2 3" xfId="19443"/>
    <cellStyle name="20% - Accent5 6 2 2 2 3" xfId="10848"/>
    <cellStyle name="20% - Accent5 6 2 2 2 3 2" xfId="24790"/>
    <cellStyle name="20% - Accent5 6 2 2 2 4" xfId="19442"/>
    <cellStyle name="20% - Accent5 6 2 2 3" xfId="2120"/>
    <cellStyle name="20% - Accent5 6 2 2 3 2" xfId="12373"/>
    <cellStyle name="20% - Accent5 6 2 2 3 2 2" xfId="26085"/>
    <cellStyle name="20% - Accent5 6 2 2 3 3" xfId="19444"/>
    <cellStyle name="20% - Accent5 6 2 2 4" xfId="2121"/>
    <cellStyle name="20% - Accent5 6 2 2 4 2" xfId="13937"/>
    <cellStyle name="20% - Accent5 6 2 2 4 2 2" xfId="27486"/>
    <cellStyle name="20% - Accent5 6 2 2 4 3" xfId="19445"/>
    <cellStyle name="20% - Accent5 6 2 2 5" xfId="2122"/>
    <cellStyle name="20% - Accent5 6 2 2 5 2" xfId="14518"/>
    <cellStyle name="20% - Accent5 6 2 2 5 2 2" xfId="28067"/>
    <cellStyle name="20% - Accent5 6 2 2 5 3" xfId="19446"/>
    <cellStyle name="20% - Accent5 6 2 2 6" xfId="2123"/>
    <cellStyle name="20% - Accent5 6 2 2 6 2" xfId="16404"/>
    <cellStyle name="20% - Accent5 6 2 2 6 2 2" xfId="29811"/>
    <cellStyle name="20% - Accent5 6 2 2 6 3" xfId="19447"/>
    <cellStyle name="20% - Accent5 6 2 2 7" xfId="9122"/>
    <cellStyle name="20% - Accent5 6 2 2 7 2" xfId="23597"/>
    <cellStyle name="20% - Accent5 6 2 2 8" xfId="19441"/>
    <cellStyle name="20% - Accent5 6 2 3" xfId="2124"/>
    <cellStyle name="20% - Accent5 6 2 3 2" xfId="2125"/>
    <cellStyle name="20% - Accent5 6 2 3 2 2" xfId="16696"/>
    <cellStyle name="20% - Accent5 6 2 3 2 2 2" xfId="30103"/>
    <cellStyle name="20% - Accent5 6 2 3 2 3" xfId="19449"/>
    <cellStyle name="20% - Accent5 6 2 3 3" xfId="10847"/>
    <cellStyle name="20% - Accent5 6 2 3 3 2" xfId="24789"/>
    <cellStyle name="20% - Accent5 6 2 3 4" xfId="19448"/>
    <cellStyle name="20% - Accent5 6 2 4" xfId="2126"/>
    <cellStyle name="20% - Accent5 6 2 4 2" xfId="12073"/>
    <cellStyle name="20% - Accent5 6 2 4 2 2" xfId="25788"/>
    <cellStyle name="20% - Accent5 6 2 4 3" xfId="19450"/>
    <cellStyle name="20% - Accent5 6 2 5" xfId="2127"/>
    <cellStyle name="20% - Accent5 6 2 5 2" xfId="13648"/>
    <cellStyle name="20% - Accent5 6 2 5 2 2" xfId="27197"/>
    <cellStyle name="20% - Accent5 6 2 5 3" xfId="19451"/>
    <cellStyle name="20% - Accent5 6 2 6" xfId="2128"/>
    <cellStyle name="20% - Accent5 6 2 6 2" xfId="14229"/>
    <cellStyle name="20% - Accent5 6 2 6 2 2" xfId="27778"/>
    <cellStyle name="20% - Accent5 6 2 6 3" xfId="19452"/>
    <cellStyle name="20% - Accent5 6 2 7" xfId="2129"/>
    <cellStyle name="20% - Accent5 6 2 7 2" xfId="16115"/>
    <cellStyle name="20% - Accent5 6 2 7 2 2" xfId="29522"/>
    <cellStyle name="20% - Accent5 6 2 7 3" xfId="19453"/>
    <cellStyle name="20% - Accent5 6 2 8" xfId="9121"/>
    <cellStyle name="20% - Accent5 6 2 8 2" xfId="23596"/>
    <cellStyle name="20% - Accent5 6 2 9" xfId="19440"/>
    <cellStyle name="20% - Accent5 6 3" xfId="2130"/>
    <cellStyle name="20% - Accent5 6 3 2" xfId="2131"/>
    <cellStyle name="20% - Accent5 6 3 2 2" xfId="2132"/>
    <cellStyle name="20% - Accent5 6 3 2 2 2" xfId="16842"/>
    <cellStyle name="20% - Accent5 6 3 2 2 2 2" xfId="30249"/>
    <cellStyle name="20% - Accent5 6 3 2 2 3" xfId="19456"/>
    <cellStyle name="20% - Accent5 6 3 2 3" xfId="10849"/>
    <cellStyle name="20% - Accent5 6 3 2 3 2" xfId="24791"/>
    <cellStyle name="20% - Accent5 6 3 2 4" xfId="19455"/>
    <cellStyle name="20% - Accent5 6 3 3" xfId="2133"/>
    <cellStyle name="20% - Accent5 6 3 3 2" xfId="12230"/>
    <cellStyle name="20% - Accent5 6 3 3 2 2" xfId="25942"/>
    <cellStyle name="20% - Accent5 6 3 3 3" xfId="19457"/>
    <cellStyle name="20% - Accent5 6 3 4" xfId="2134"/>
    <cellStyle name="20% - Accent5 6 3 4 2" xfId="13794"/>
    <cellStyle name="20% - Accent5 6 3 4 2 2" xfId="27343"/>
    <cellStyle name="20% - Accent5 6 3 4 3" xfId="19458"/>
    <cellStyle name="20% - Accent5 6 3 5" xfId="2135"/>
    <cellStyle name="20% - Accent5 6 3 5 2" xfId="14375"/>
    <cellStyle name="20% - Accent5 6 3 5 2 2" xfId="27924"/>
    <cellStyle name="20% - Accent5 6 3 5 3" xfId="19459"/>
    <cellStyle name="20% - Accent5 6 3 6" xfId="2136"/>
    <cellStyle name="20% - Accent5 6 3 6 2" xfId="16261"/>
    <cellStyle name="20% - Accent5 6 3 6 2 2" xfId="29668"/>
    <cellStyle name="20% - Accent5 6 3 6 3" xfId="19460"/>
    <cellStyle name="20% - Accent5 6 3 7" xfId="9123"/>
    <cellStyle name="20% - Accent5 6 3 7 2" xfId="23598"/>
    <cellStyle name="20% - Accent5 6 3 8" xfId="19454"/>
    <cellStyle name="20% - Accent5 6 4" xfId="2137"/>
    <cellStyle name="20% - Accent5 6 4 2" xfId="2138"/>
    <cellStyle name="20% - Accent5 6 4 2 2" xfId="16553"/>
    <cellStyle name="20% - Accent5 6 4 2 2 2" xfId="29960"/>
    <cellStyle name="20% - Accent5 6 4 2 3" xfId="19462"/>
    <cellStyle name="20% - Accent5 6 4 3" xfId="10846"/>
    <cellStyle name="20% - Accent5 6 4 3 2" xfId="24788"/>
    <cellStyle name="20% - Accent5 6 4 4" xfId="19461"/>
    <cellStyle name="20% - Accent5 6 5" xfId="2139"/>
    <cellStyle name="20% - Accent5 6 5 2" xfId="11928"/>
    <cellStyle name="20% - Accent5 6 5 2 2" xfId="25643"/>
    <cellStyle name="20% - Accent5 6 5 3" xfId="19463"/>
    <cellStyle name="20% - Accent5 6 6" xfId="2140"/>
    <cellStyle name="20% - Accent5 6 6 2" xfId="13505"/>
    <cellStyle name="20% - Accent5 6 6 2 2" xfId="27054"/>
    <cellStyle name="20% - Accent5 6 6 3" xfId="19464"/>
    <cellStyle name="20% - Accent5 6 7" xfId="2141"/>
    <cellStyle name="20% - Accent5 6 7 2" xfId="14086"/>
    <cellStyle name="20% - Accent5 6 7 2 2" xfId="27635"/>
    <cellStyle name="20% - Accent5 6 7 3" xfId="19465"/>
    <cellStyle name="20% - Accent5 6 8" xfId="2142"/>
    <cellStyle name="20% - Accent5 6 8 2" xfId="15972"/>
    <cellStyle name="20% - Accent5 6 8 2 2" xfId="29379"/>
    <cellStyle name="20% - Accent5 6 8 3" xfId="19466"/>
    <cellStyle name="20% - Accent5 6 9" xfId="9120"/>
    <cellStyle name="20% - Accent5 6 9 2" xfId="23595"/>
    <cellStyle name="20% - Accent5 7" xfId="2143"/>
    <cellStyle name="20% - Accent5 7 2" xfId="2144"/>
    <cellStyle name="20% - Accent5 7 2 2" xfId="2145"/>
    <cellStyle name="20% - Accent5 7 2 2 2" xfId="2146"/>
    <cellStyle name="20% - Accent5 7 2 2 2 2" xfId="16866"/>
    <cellStyle name="20% - Accent5 7 2 2 2 2 2" xfId="30273"/>
    <cellStyle name="20% - Accent5 7 2 2 2 3" xfId="19470"/>
    <cellStyle name="20% - Accent5 7 2 2 3" xfId="10851"/>
    <cellStyle name="20% - Accent5 7 2 2 3 2" xfId="24793"/>
    <cellStyle name="20% - Accent5 7 2 2 4" xfId="19469"/>
    <cellStyle name="20% - Accent5 7 2 3" xfId="2147"/>
    <cellStyle name="20% - Accent5 7 2 3 2" xfId="12254"/>
    <cellStyle name="20% - Accent5 7 2 3 2 2" xfId="25966"/>
    <cellStyle name="20% - Accent5 7 2 3 3" xfId="19471"/>
    <cellStyle name="20% - Accent5 7 2 4" xfId="2148"/>
    <cellStyle name="20% - Accent5 7 2 4 2" xfId="13818"/>
    <cellStyle name="20% - Accent5 7 2 4 2 2" xfId="27367"/>
    <cellStyle name="20% - Accent5 7 2 4 3" xfId="19472"/>
    <cellStyle name="20% - Accent5 7 2 5" xfId="2149"/>
    <cellStyle name="20% - Accent5 7 2 5 2" xfId="14399"/>
    <cellStyle name="20% - Accent5 7 2 5 2 2" xfId="27948"/>
    <cellStyle name="20% - Accent5 7 2 5 3" xfId="19473"/>
    <cellStyle name="20% - Accent5 7 2 6" xfId="2150"/>
    <cellStyle name="20% - Accent5 7 2 6 2" xfId="16285"/>
    <cellStyle name="20% - Accent5 7 2 6 2 2" xfId="29692"/>
    <cellStyle name="20% - Accent5 7 2 6 3" xfId="19474"/>
    <cellStyle name="20% - Accent5 7 2 7" xfId="9125"/>
    <cellStyle name="20% - Accent5 7 2 7 2" xfId="23600"/>
    <cellStyle name="20% - Accent5 7 2 8" xfId="19468"/>
    <cellStyle name="20% - Accent5 7 3" xfId="2151"/>
    <cellStyle name="20% - Accent5 7 3 2" xfId="2152"/>
    <cellStyle name="20% - Accent5 7 3 2 2" xfId="16577"/>
    <cellStyle name="20% - Accent5 7 3 2 2 2" xfId="29984"/>
    <cellStyle name="20% - Accent5 7 3 2 3" xfId="19476"/>
    <cellStyle name="20% - Accent5 7 3 3" xfId="10850"/>
    <cellStyle name="20% - Accent5 7 3 3 2" xfId="24792"/>
    <cellStyle name="20% - Accent5 7 3 4" xfId="19475"/>
    <cellStyle name="20% - Accent5 7 4" xfId="2153"/>
    <cellStyle name="20% - Accent5 7 4 2" xfId="11952"/>
    <cellStyle name="20% - Accent5 7 4 2 2" xfId="25667"/>
    <cellStyle name="20% - Accent5 7 4 3" xfId="19477"/>
    <cellStyle name="20% - Accent5 7 5" xfId="2154"/>
    <cellStyle name="20% - Accent5 7 5 2" xfId="13529"/>
    <cellStyle name="20% - Accent5 7 5 2 2" xfId="27078"/>
    <cellStyle name="20% - Accent5 7 5 3" xfId="19478"/>
    <cellStyle name="20% - Accent5 7 6" xfId="2155"/>
    <cellStyle name="20% - Accent5 7 6 2" xfId="14110"/>
    <cellStyle name="20% - Accent5 7 6 2 2" xfId="27659"/>
    <cellStyle name="20% - Accent5 7 6 3" xfId="19479"/>
    <cellStyle name="20% - Accent5 7 7" xfId="2156"/>
    <cellStyle name="20% - Accent5 7 7 2" xfId="15996"/>
    <cellStyle name="20% - Accent5 7 7 2 2" xfId="29403"/>
    <cellStyle name="20% - Accent5 7 7 3" xfId="19480"/>
    <cellStyle name="20% - Accent5 7 8" xfId="9124"/>
    <cellStyle name="20% - Accent5 7 8 2" xfId="23599"/>
    <cellStyle name="20% - Accent5 7 9" xfId="19467"/>
    <cellStyle name="20% - Accent5 8" xfId="2157"/>
    <cellStyle name="20% - Accent5 8 2" xfId="2158"/>
    <cellStyle name="20% - Accent5 8 2 2" xfId="2159"/>
    <cellStyle name="20% - Accent5 8 2 2 2" xfId="16716"/>
    <cellStyle name="20% - Accent5 8 2 2 2 2" xfId="30123"/>
    <cellStyle name="20% - Accent5 8 2 2 3" xfId="19483"/>
    <cellStyle name="20% - Accent5 8 2 3" xfId="10852"/>
    <cellStyle name="20% - Accent5 8 2 3 2" xfId="24794"/>
    <cellStyle name="20% - Accent5 8 2 4" xfId="19482"/>
    <cellStyle name="20% - Accent5 8 3" xfId="2160"/>
    <cellStyle name="20% - Accent5 8 3 2" xfId="12094"/>
    <cellStyle name="20% - Accent5 8 3 2 2" xfId="25808"/>
    <cellStyle name="20% - Accent5 8 3 3" xfId="19484"/>
    <cellStyle name="20% - Accent5 8 4" xfId="2161"/>
    <cellStyle name="20% - Accent5 8 4 2" xfId="13668"/>
    <cellStyle name="20% - Accent5 8 4 2 2" xfId="27217"/>
    <cellStyle name="20% - Accent5 8 4 3" xfId="19485"/>
    <cellStyle name="20% - Accent5 8 5" xfId="2162"/>
    <cellStyle name="20% - Accent5 8 5 2" xfId="14249"/>
    <cellStyle name="20% - Accent5 8 5 2 2" xfId="27798"/>
    <cellStyle name="20% - Accent5 8 5 3" xfId="19486"/>
    <cellStyle name="20% - Accent5 8 6" xfId="2163"/>
    <cellStyle name="20% - Accent5 8 6 2" xfId="16135"/>
    <cellStyle name="20% - Accent5 8 6 2 2" xfId="29542"/>
    <cellStyle name="20% - Accent5 8 6 3" xfId="19487"/>
    <cellStyle name="20% - Accent5 8 7" xfId="9126"/>
    <cellStyle name="20% - Accent5 8 7 2" xfId="23601"/>
    <cellStyle name="20% - Accent5 8 8" xfId="19481"/>
    <cellStyle name="20% - Accent5 9" xfId="2164"/>
    <cellStyle name="20% - Accent5 9 2" xfId="2165"/>
    <cellStyle name="20% - Accent5 9 2 2" xfId="11714"/>
    <cellStyle name="20% - Accent5 9 2 2 2" xfId="25434"/>
    <cellStyle name="20% - Accent5 9 2 3" xfId="19489"/>
    <cellStyle name="20% - Accent5 9 3" xfId="2166"/>
    <cellStyle name="20% - Accent5 9 3 2" xfId="12809"/>
    <cellStyle name="20% - Accent5 9 3 2 2" xfId="26521"/>
    <cellStyle name="20% - Accent5 9 3 3" xfId="19490"/>
    <cellStyle name="20% - Accent5 9 4" xfId="2167"/>
    <cellStyle name="20% - Accent5 9 4 2" xfId="14956"/>
    <cellStyle name="20% - Accent5 9 4 2 2" xfId="28505"/>
    <cellStyle name="20% - Accent5 9 4 3" xfId="19491"/>
    <cellStyle name="20% - Accent5 9 5" xfId="2168"/>
    <cellStyle name="20% - Accent5 9 5 2" xfId="17100"/>
    <cellStyle name="20% - Accent5 9 5 2 2" xfId="30459"/>
    <cellStyle name="20% - Accent5 9 5 3" xfId="19492"/>
    <cellStyle name="20% - Accent5 9 6" xfId="10466"/>
    <cellStyle name="20% - Accent5 9 6 2" xfId="24425"/>
    <cellStyle name="20% - Accent5 9 7" xfId="19488"/>
    <cellStyle name="20% - Accent6" xfId="47" builtinId="50" customBuiltin="1"/>
    <cellStyle name="20% - Accent6 10" xfId="2169"/>
    <cellStyle name="20% - Accent6 10 2" xfId="2170"/>
    <cellStyle name="20% - Accent6 10 2 2" xfId="2171"/>
    <cellStyle name="20% - Accent6 10 2 2 2" xfId="12400"/>
    <cellStyle name="20% - Accent6 10 2 2 2 2" xfId="26112"/>
    <cellStyle name="20% - Accent6 10 2 2 3" xfId="19495"/>
    <cellStyle name="20% - Accent6 10 2 3" xfId="2172"/>
    <cellStyle name="20% - Accent6 10 2 3 2" xfId="14959"/>
    <cellStyle name="20% - Accent6 10 2 3 2 2" xfId="28508"/>
    <cellStyle name="20% - Accent6 10 2 3 3" xfId="19496"/>
    <cellStyle name="20% - Accent6 10 2 4" xfId="10854"/>
    <cellStyle name="20% - Accent6 10 2 4 2" xfId="24796"/>
    <cellStyle name="20% - Accent6 10 2 5" xfId="19494"/>
    <cellStyle name="20% - Accent6 10 3" xfId="2173"/>
    <cellStyle name="20% - Accent6 10 3 2" xfId="12472"/>
    <cellStyle name="20% - Accent6 10 3 2 2" xfId="26184"/>
    <cellStyle name="20% - Accent6 10 3 3" xfId="19497"/>
    <cellStyle name="20% - Accent6 10 4" xfId="2174"/>
    <cellStyle name="20% - Accent6 10 4 2" xfId="14958"/>
    <cellStyle name="20% - Accent6 10 4 2 2" xfId="28507"/>
    <cellStyle name="20% - Accent6 10 4 3" xfId="19498"/>
    <cellStyle name="20% - Accent6 10 5" xfId="2175"/>
    <cellStyle name="20% - Accent6 10 5 2" xfId="17190"/>
    <cellStyle name="20% - Accent6 10 5 2 2" xfId="30549"/>
    <cellStyle name="20% - Accent6 10 5 3" xfId="19499"/>
    <cellStyle name="20% - Accent6 10 6" xfId="9128"/>
    <cellStyle name="20% - Accent6 10 6 2" xfId="23603"/>
    <cellStyle name="20% - Accent6 10 7" xfId="19493"/>
    <cellStyle name="20% - Accent6 11" xfId="2176"/>
    <cellStyle name="20% - Accent6 11 2" xfId="2177"/>
    <cellStyle name="20% - Accent6 11 2 2" xfId="10855"/>
    <cellStyle name="20% - Accent6 11 2 2 2" xfId="24797"/>
    <cellStyle name="20% - Accent6 11 2 3" xfId="19501"/>
    <cellStyle name="20% - Accent6 11 3" xfId="2178"/>
    <cellStyle name="20% - Accent6 11 3 2" xfId="12812"/>
    <cellStyle name="20% - Accent6 11 3 2 2" xfId="26524"/>
    <cellStyle name="20% - Accent6 11 3 3" xfId="19502"/>
    <cellStyle name="20% - Accent6 11 4" xfId="2179"/>
    <cellStyle name="20% - Accent6 11 4 2" xfId="14960"/>
    <cellStyle name="20% - Accent6 11 4 2 2" xfId="28509"/>
    <cellStyle name="20% - Accent6 11 4 3" xfId="19503"/>
    <cellStyle name="20% - Accent6 11 5" xfId="2180"/>
    <cellStyle name="20% - Accent6 11 5 2" xfId="17279"/>
    <cellStyle name="20% - Accent6 11 5 2 2" xfId="30638"/>
    <cellStyle name="20% - Accent6 11 5 3" xfId="19504"/>
    <cellStyle name="20% - Accent6 11 6" xfId="9129"/>
    <cellStyle name="20% - Accent6 11 6 2" xfId="23604"/>
    <cellStyle name="20% - Accent6 11 7" xfId="19500"/>
    <cellStyle name="20% - Accent6 12" xfId="2181"/>
    <cellStyle name="20% - Accent6 12 2" xfId="2182"/>
    <cellStyle name="20% - Accent6 12 2 2" xfId="2183"/>
    <cellStyle name="20% - Accent6 12 2 2 2" xfId="10857"/>
    <cellStyle name="20% - Accent6 12 2 2 2 2" xfId="24799"/>
    <cellStyle name="20% - Accent6 12 2 2 3" xfId="19507"/>
    <cellStyle name="20% - Accent6 12 2 3" xfId="2184"/>
    <cellStyle name="20% - Accent6 12 2 3 2" xfId="12744"/>
    <cellStyle name="20% - Accent6 12 2 3 2 2" xfId="26456"/>
    <cellStyle name="20% - Accent6 12 2 3 3" xfId="19508"/>
    <cellStyle name="20% - Accent6 12 2 4" xfId="2185"/>
    <cellStyle name="20% - Accent6 12 2 4 2" xfId="14962"/>
    <cellStyle name="20% - Accent6 12 2 4 2 2" xfId="28511"/>
    <cellStyle name="20% - Accent6 12 2 4 3" xfId="19509"/>
    <cellStyle name="20% - Accent6 12 2 5" xfId="9131"/>
    <cellStyle name="20% - Accent6 12 2 5 2" xfId="23606"/>
    <cellStyle name="20% - Accent6 12 2 6" xfId="19506"/>
    <cellStyle name="20% - Accent6 12 3" xfId="2186"/>
    <cellStyle name="20% - Accent6 12 3 2" xfId="10856"/>
    <cellStyle name="20% - Accent6 12 3 2 2" xfId="24798"/>
    <cellStyle name="20% - Accent6 12 3 3" xfId="19510"/>
    <cellStyle name="20% - Accent6 12 4" xfId="2187"/>
    <cellStyle name="20% - Accent6 12 4 2" xfId="12548"/>
    <cellStyle name="20% - Accent6 12 4 2 2" xfId="26260"/>
    <cellStyle name="20% - Accent6 12 4 3" xfId="19511"/>
    <cellStyle name="20% - Accent6 12 5" xfId="2188"/>
    <cellStyle name="20% - Accent6 12 5 2" xfId="14961"/>
    <cellStyle name="20% - Accent6 12 5 2 2" xfId="28510"/>
    <cellStyle name="20% - Accent6 12 5 3" xfId="19512"/>
    <cellStyle name="20% - Accent6 12 6" xfId="2189"/>
    <cellStyle name="20% - Accent6 12 6 2" xfId="16431"/>
    <cellStyle name="20% - Accent6 12 6 2 2" xfId="29838"/>
    <cellStyle name="20% - Accent6 12 6 3" xfId="19513"/>
    <cellStyle name="20% - Accent6 12 7" xfId="9130"/>
    <cellStyle name="20% - Accent6 12 7 2" xfId="23605"/>
    <cellStyle name="20% - Accent6 12 8" xfId="19505"/>
    <cellStyle name="20% - Accent6 13" xfId="2190"/>
    <cellStyle name="20% - Accent6 13 2" xfId="2191"/>
    <cellStyle name="20% - Accent6 13 2 2" xfId="10858"/>
    <cellStyle name="20% - Accent6 13 2 2 2" xfId="24800"/>
    <cellStyle name="20% - Accent6 13 2 3" xfId="19515"/>
    <cellStyle name="20% - Accent6 13 3" xfId="2192"/>
    <cellStyle name="20% - Accent6 13 3 2" xfId="12552"/>
    <cellStyle name="20% - Accent6 13 3 2 2" xfId="26264"/>
    <cellStyle name="20% - Accent6 13 3 3" xfId="19516"/>
    <cellStyle name="20% - Accent6 13 4" xfId="2193"/>
    <cellStyle name="20% - Accent6 13 4 2" xfId="14963"/>
    <cellStyle name="20% - Accent6 13 4 2 2" xfId="28512"/>
    <cellStyle name="20% - Accent6 13 4 3" xfId="19517"/>
    <cellStyle name="20% - Accent6 13 5" xfId="9132"/>
    <cellStyle name="20% - Accent6 13 5 2" xfId="23607"/>
    <cellStyle name="20% - Accent6 13 6" xfId="19514"/>
    <cellStyle name="20% - Accent6 14" xfId="2194"/>
    <cellStyle name="20% - Accent6 14 2" xfId="2195"/>
    <cellStyle name="20% - Accent6 14 2 2" xfId="10859"/>
    <cellStyle name="20% - Accent6 14 2 2 2" xfId="24801"/>
    <cellStyle name="20% - Accent6 14 2 3" xfId="19519"/>
    <cellStyle name="20% - Accent6 14 3" xfId="2196"/>
    <cellStyle name="20% - Accent6 14 3 2" xfId="12608"/>
    <cellStyle name="20% - Accent6 14 3 2 2" xfId="26320"/>
    <cellStyle name="20% - Accent6 14 3 3" xfId="19520"/>
    <cellStyle name="20% - Accent6 14 4" xfId="2197"/>
    <cellStyle name="20% - Accent6 14 4 2" xfId="14964"/>
    <cellStyle name="20% - Accent6 14 4 2 2" xfId="28513"/>
    <cellStyle name="20% - Accent6 14 4 3" xfId="19521"/>
    <cellStyle name="20% - Accent6 14 5" xfId="9133"/>
    <cellStyle name="20% - Accent6 14 5 2" xfId="23608"/>
    <cellStyle name="20% - Accent6 14 6" xfId="19518"/>
    <cellStyle name="20% - Accent6 15" xfId="2198"/>
    <cellStyle name="20% - Accent6 15 2" xfId="2199"/>
    <cellStyle name="20% - Accent6 15 2 2" xfId="10860"/>
    <cellStyle name="20% - Accent6 15 2 2 2" xfId="24802"/>
    <cellStyle name="20% - Accent6 15 2 3" xfId="19523"/>
    <cellStyle name="20% - Accent6 15 3" xfId="2200"/>
    <cellStyle name="20% - Accent6 15 3 2" xfId="12669"/>
    <cellStyle name="20% - Accent6 15 3 2 2" xfId="26381"/>
    <cellStyle name="20% - Accent6 15 3 3" xfId="19524"/>
    <cellStyle name="20% - Accent6 15 4" xfId="2201"/>
    <cellStyle name="20% - Accent6 15 4 2" xfId="14965"/>
    <cellStyle name="20% - Accent6 15 4 2 2" xfId="28514"/>
    <cellStyle name="20% - Accent6 15 4 3" xfId="19525"/>
    <cellStyle name="20% - Accent6 15 5" xfId="9134"/>
    <cellStyle name="20% - Accent6 15 5 2" xfId="23609"/>
    <cellStyle name="20% - Accent6 15 6" xfId="19522"/>
    <cellStyle name="20% - Accent6 16" xfId="2202"/>
    <cellStyle name="20% - Accent6 16 2" xfId="2203"/>
    <cellStyle name="20% - Accent6 16 2 2" xfId="10861"/>
    <cellStyle name="20% - Accent6 16 2 2 2" xfId="24803"/>
    <cellStyle name="20% - Accent6 16 2 3" xfId="19527"/>
    <cellStyle name="20% - Accent6 16 3" xfId="2204"/>
    <cellStyle name="20% - Accent6 16 3 2" xfId="12461"/>
    <cellStyle name="20% - Accent6 16 3 2 2" xfId="26173"/>
    <cellStyle name="20% - Accent6 16 3 3" xfId="19528"/>
    <cellStyle name="20% - Accent6 16 4" xfId="2205"/>
    <cellStyle name="20% - Accent6 16 4 2" xfId="14966"/>
    <cellStyle name="20% - Accent6 16 4 2 2" xfId="28515"/>
    <cellStyle name="20% - Accent6 16 4 3" xfId="19529"/>
    <cellStyle name="20% - Accent6 16 5" xfId="9135"/>
    <cellStyle name="20% - Accent6 16 5 2" xfId="23610"/>
    <cellStyle name="20% - Accent6 16 6" xfId="19526"/>
    <cellStyle name="20% - Accent6 17" xfId="2206"/>
    <cellStyle name="20% - Accent6 17 2" xfId="2207"/>
    <cellStyle name="20% - Accent6 17 2 2" xfId="10862"/>
    <cellStyle name="20% - Accent6 17 2 2 2" xfId="24804"/>
    <cellStyle name="20% - Accent6 17 2 3" xfId="19531"/>
    <cellStyle name="20% - Accent6 17 3" xfId="2208"/>
    <cellStyle name="20% - Accent6 17 3 2" xfId="11781"/>
    <cellStyle name="20% - Accent6 17 3 2 2" xfId="25496"/>
    <cellStyle name="20% - Accent6 17 3 3" xfId="19532"/>
    <cellStyle name="20% - Accent6 17 4" xfId="2209"/>
    <cellStyle name="20% - Accent6 17 4 2" xfId="14967"/>
    <cellStyle name="20% - Accent6 17 4 2 2" xfId="28516"/>
    <cellStyle name="20% - Accent6 17 4 3" xfId="19533"/>
    <cellStyle name="20% - Accent6 17 5" xfId="9136"/>
    <cellStyle name="20% - Accent6 17 5 2" xfId="23611"/>
    <cellStyle name="20% - Accent6 17 6" xfId="19530"/>
    <cellStyle name="20% - Accent6 18" xfId="2210"/>
    <cellStyle name="20% - Accent6 18 2" xfId="2211"/>
    <cellStyle name="20% - Accent6 18 2 2" xfId="10863"/>
    <cellStyle name="20% - Accent6 18 2 2 2" xfId="24805"/>
    <cellStyle name="20% - Accent6 18 2 3" xfId="19535"/>
    <cellStyle name="20% - Accent6 18 3" xfId="2212"/>
    <cellStyle name="20% - Accent6 18 3 2" xfId="12729"/>
    <cellStyle name="20% - Accent6 18 3 2 2" xfId="26441"/>
    <cellStyle name="20% - Accent6 18 3 3" xfId="19536"/>
    <cellStyle name="20% - Accent6 18 4" xfId="2213"/>
    <cellStyle name="20% - Accent6 18 4 2" xfId="14968"/>
    <cellStyle name="20% - Accent6 18 4 2 2" xfId="28517"/>
    <cellStyle name="20% - Accent6 18 4 3" xfId="19537"/>
    <cellStyle name="20% - Accent6 18 5" xfId="9137"/>
    <cellStyle name="20% - Accent6 18 5 2" xfId="23612"/>
    <cellStyle name="20% - Accent6 18 6" xfId="19534"/>
    <cellStyle name="20% - Accent6 19" xfId="2214"/>
    <cellStyle name="20% - Accent6 19 2" xfId="2215"/>
    <cellStyle name="20% - Accent6 19 2 2" xfId="11715"/>
    <cellStyle name="20% - Accent6 19 2 2 2" xfId="25435"/>
    <cellStyle name="20% - Accent6 19 2 3" xfId="19539"/>
    <cellStyle name="20% - Accent6 19 3" xfId="2216"/>
    <cellStyle name="20% - Accent6 19 3 2" xfId="12650"/>
    <cellStyle name="20% - Accent6 19 3 2 2" xfId="26362"/>
    <cellStyle name="20% - Accent6 19 3 3" xfId="19540"/>
    <cellStyle name="20% - Accent6 19 4" xfId="2217"/>
    <cellStyle name="20% - Accent6 19 4 2" xfId="14969"/>
    <cellStyle name="20% - Accent6 19 4 2 2" xfId="28518"/>
    <cellStyle name="20% - Accent6 19 4 3" xfId="19541"/>
    <cellStyle name="20% - Accent6 19 5" xfId="10467"/>
    <cellStyle name="20% - Accent6 19 5 2" xfId="24426"/>
    <cellStyle name="20% - Accent6 19 6" xfId="19538"/>
    <cellStyle name="20% - Accent6 2" xfId="2218"/>
    <cellStyle name="20% - Accent6 2 10" xfId="2219"/>
    <cellStyle name="20% - Accent6 2 10 2" xfId="2220"/>
    <cellStyle name="20% - Accent6 2 10 2 2" xfId="14971"/>
    <cellStyle name="20% - Accent6 2 10 2 2 2" xfId="28520"/>
    <cellStyle name="20% - Accent6 2 10 2 3" xfId="19544"/>
    <cellStyle name="20% - Accent6 2 10 3" xfId="11848"/>
    <cellStyle name="20% - Accent6 2 10 3 2" xfId="25563"/>
    <cellStyle name="20% - Accent6 2 10 4" xfId="19543"/>
    <cellStyle name="20% - Accent6 2 11" xfId="2221"/>
    <cellStyle name="20% - Accent6 2 11 2" xfId="11866"/>
    <cellStyle name="20% - Accent6 2 11 2 2" xfId="25581"/>
    <cellStyle name="20% - Accent6 2 11 3" xfId="19545"/>
    <cellStyle name="20% - Accent6 2 12" xfId="2222"/>
    <cellStyle name="20% - Accent6 2 12 2" xfId="13445"/>
    <cellStyle name="20% - Accent6 2 12 2 2" xfId="26994"/>
    <cellStyle name="20% - Accent6 2 12 3" xfId="19546"/>
    <cellStyle name="20% - Accent6 2 13" xfId="2223"/>
    <cellStyle name="20% - Accent6 2 13 2" xfId="14026"/>
    <cellStyle name="20% - Accent6 2 13 2 2" xfId="27575"/>
    <cellStyle name="20% - Accent6 2 13 3" xfId="19547"/>
    <cellStyle name="20% - Accent6 2 14" xfId="2224"/>
    <cellStyle name="20% - Accent6 2 14 2" xfId="14970"/>
    <cellStyle name="20% - Accent6 2 14 2 2" xfId="28519"/>
    <cellStyle name="20% - Accent6 2 14 3" xfId="19548"/>
    <cellStyle name="20% - Accent6 2 15" xfId="2225"/>
    <cellStyle name="20% - Accent6 2 15 2" xfId="15912"/>
    <cellStyle name="20% - Accent6 2 15 2 2" xfId="29319"/>
    <cellStyle name="20% - Accent6 2 15 3" xfId="19549"/>
    <cellStyle name="20% - Accent6 2 16" xfId="9138"/>
    <cellStyle name="20% - Accent6 2 16 2" xfId="23613"/>
    <cellStyle name="20% - Accent6 2 17" xfId="19542"/>
    <cellStyle name="20% - Accent6 2 18" xfId="33082"/>
    <cellStyle name="20% - Accent6 2 2" xfId="2226"/>
    <cellStyle name="20% - Accent6 2 2 10" xfId="2227"/>
    <cellStyle name="20% - Accent6 2 2 10 2" xfId="14972"/>
    <cellStyle name="20% - Accent6 2 2 10 2 2" xfId="28521"/>
    <cellStyle name="20% - Accent6 2 2 10 3" xfId="19551"/>
    <cellStyle name="20% - Accent6 2 2 11" xfId="2228"/>
    <cellStyle name="20% - Accent6 2 2 11 2" xfId="15958"/>
    <cellStyle name="20% - Accent6 2 2 11 2 2" xfId="29365"/>
    <cellStyle name="20% - Accent6 2 2 11 3" xfId="19552"/>
    <cellStyle name="20% - Accent6 2 2 12" xfId="9139"/>
    <cellStyle name="20% - Accent6 2 2 12 2" xfId="23614"/>
    <cellStyle name="20% - Accent6 2 2 13" xfId="19550"/>
    <cellStyle name="20% - Accent6 2 2 2" xfId="2229"/>
    <cellStyle name="20% - Accent6 2 2 2 10" xfId="2230"/>
    <cellStyle name="20% - Accent6 2 2 2 10 2" xfId="16101"/>
    <cellStyle name="20% - Accent6 2 2 2 10 2 2" xfId="29508"/>
    <cellStyle name="20% - Accent6 2 2 2 10 3" xfId="19554"/>
    <cellStyle name="20% - Accent6 2 2 2 11" xfId="9140"/>
    <cellStyle name="20% - Accent6 2 2 2 11 2" xfId="23615"/>
    <cellStyle name="20% - Accent6 2 2 2 12" xfId="19553"/>
    <cellStyle name="20% - Accent6 2 2 2 2" xfId="2231"/>
    <cellStyle name="20% - Accent6 2 2 2 2 10" xfId="9141"/>
    <cellStyle name="20% - Accent6 2 2 2 2 10 2" xfId="23616"/>
    <cellStyle name="20% - Accent6 2 2 2 2 11" xfId="19555"/>
    <cellStyle name="20% - Accent6 2 2 2 2 2" xfId="2232"/>
    <cellStyle name="20% - Accent6 2 2 2 2 2 2" xfId="2233"/>
    <cellStyle name="20% - Accent6 2 2 2 2 2 2 2" xfId="10868"/>
    <cellStyle name="20% - Accent6 2 2 2 2 2 2 2 2" xfId="24810"/>
    <cellStyle name="20% - Accent6 2 2 2 2 2 2 3" xfId="19557"/>
    <cellStyle name="20% - Accent6 2 2 2 2 2 3" xfId="2234"/>
    <cellStyle name="20% - Accent6 2 2 2 2 2 3 2" xfId="12674"/>
    <cellStyle name="20% - Accent6 2 2 2 2 2 3 2 2" xfId="26386"/>
    <cellStyle name="20% - Accent6 2 2 2 2 2 3 3" xfId="19558"/>
    <cellStyle name="20% - Accent6 2 2 2 2 2 4" xfId="2235"/>
    <cellStyle name="20% - Accent6 2 2 2 2 2 4 2" xfId="14975"/>
    <cellStyle name="20% - Accent6 2 2 2 2 2 4 2 2" xfId="28524"/>
    <cellStyle name="20% - Accent6 2 2 2 2 2 4 3" xfId="19559"/>
    <cellStyle name="20% - Accent6 2 2 2 2 2 5" xfId="2236"/>
    <cellStyle name="20% - Accent6 2 2 2 2 2 5 2" xfId="16971"/>
    <cellStyle name="20% - Accent6 2 2 2 2 2 5 2 2" xfId="30378"/>
    <cellStyle name="20% - Accent6 2 2 2 2 2 5 3" xfId="19560"/>
    <cellStyle name="20% - Accent6 2 2 2 2 2 6" xfId="9142"/>
    <cellStyle name="20% - Accent6 2 2 2 2 2 6 2" xfId="23617"/>
    <cellStyle name="20% - Accent6 2 2 2 2 2 7" xfId="19556"/>
    <cellStyle name="20% - Accent6 2 2 2 2 3" xfId="2237"/>
    <cellStyle name="20% - Accent6 2 2 2 2 3 2" xfId="2238"/>
    <cellStyle name="20% - Accent6 2 2 2 2 3 2 2" xfId="14976"/>
    <cellStyle name="20% - Accent6 2 2 2 2 3 2 2 2" xfId="28525"/>
    <cellStyle name="20% - Accent6 2 2 2 2 3 2 3" xfId="19562"/>
    <cellStyle name="20% - Accent6 2 2 2 2 3 3" xfId="10867"/>
    <cellStyle name="20% - Accent6 2 2 2 2 3 3 2" xfId="24809"/>
    <cellStyle name="20% - Accent6 2 2 2 2 3 4" xfId="19561"/>
    <cellStyle name="20% - Accent6 2 2 2 2 4" xfId="2239"/>
    <cellStyle name="20% - Accent6 2 2 2 2 4 2" xfId="12359"/>
    <cellStyle name="20% - Accent6 2 2 2 2 4 2 2" xfId="26071"/>
    <cellStyle name="20% - Accent6 2 2 2 2 4 3" xfId="19563"/>
    <cellStyle name="20% - Accent6 2 2 2 2 5" xfId="2240"/>
    <cellStyle name="20% - Accent6 2 2 2 2 5 2" xfId="11759"/>
    <cellStyle name="20% - Accent6 2 2 2 2 5 2 2" xfId="25474"/>
    <cellStyle name="20% - Accent6 2 2 2 2 5 3" xfId="19564"/>
    <cellStyle name="20% - Accent6 2 2 2 2 6" xfId="2241"/>
    <cellStyle name="20% - Accent6 2 2 2 2 6 2" xfId="13923"/>
    <cellStyle name="20% - Accent6 2 2 2 2 6 2 2" xfId="27472"/>
    <cellStyle name="20% - Accent6 2 2 2 2 6 3" xfId="19565"/>
    <cellStyle name="20% - Accent6 2 2 2 2 7" xfId="2242"/>
    <cellStyle name="20% - Accent6 2 2 2 2 7 2" xfId="14504"/>
    <cellStyle name="20% - Accent6 2 2 2 2 7 2 2" xfId="28053"/>
    <cellStyle name="20% - Accent6 2 2 2 2 7 3" xfId="19566"/>
    <cellStyle name="20% - Accent6 2 2 2 2 8" xfId="2243"/>
    <cellStyle name="20% - Accent6 2 2 2 2 8 2" xfId="14974"/>
    <cellStyle name="20% - Accent6 2 2 2 2 8 2 2" xfId="28523"/>
    <cellStyle name="20% - Accent6 2 2 2 2 8 3" xfId="19567"/>
    <cellStyle name="20% - Accent6 2 2 2 2 9" xfId="2244"/>
    <cellStyle name="20% - Accent6 2 2 2 2 9 2" xfId="16390"/>
    <cellStyle name="20% - Accent6 2 2 2 2 9 2 2" xfId="29797"/>
    <cellStyle name="20% - Accent6 2 2 2 2 9 3" xfId="19568"/>
    <cellStyle name="20% - Accent6 2 2 2 3" xfId="2245"/>
    <cellStyle name="20% - Accent6 2 2 2 3 2" xfId="2246"/>
    <cellStyle name="20% - Accent6 2 2 2 3 2 2" xfId="10869"/>
    <cellStyle name="20% - Accent6 2 2 2 3 2 2 2" xfId="24811"/>
    <cellStyle name="20% - Accent6 2 2 2 3 2 3" xfId="19570"/>
    <cellStyle name="20% - Accent6 2 2 2 3 3" xfId="2247"/>
    <cellStyle name="20% - Accent6 2 2 2 3 3 2" xfId="12448"/>
    <cellStyle name="20% - Accent6 2 2 2 3 3 2 2" xfId="26160"/>
    <cellStyle name="20% - Accent6 2 2 2 3 3 3" xfId="19571"/>
    <cellStyle name="20% - Accent6 2 2 2 3 4" xfId="2248"/>
    <cellStyle name="20% - Accent6 2 2 2 3 4 2" xfId="14977"/>
    <cellStyle name="20% - Accent6 2 2 2 3 4 2 2" xfId="28526"/>
    <cellStyle name="20% - Accent6 2 2 2 3 4 3" xfId="19572"/>
    <cellStyle name="20% - Accent6 2 2 2 3 5" xfId="2249"/>
    <cellStyle name="20% - Accent6 2 2 2 3 5 2" xfId="16682"/>
    <cellStyle name="20% - Accent6 2 2 2 3 5 2 2" xfId="30089"/>
    <cellStyle name="20% - Accent6 2 2 2 3 5 3" xfId="19573"/>
    <cellStyle name="20% - Accent6 2 2 2 3 6" xfId="9143"/>
    <cellStyle name="20% - Accent6 2 2 2 3 6 2" xfId="23618"/>
    <cellStyle name="20% - Accent6 2 2 2 3 7" xfId="19569"/>
    <cellStyle name="20% - Accent6 2 2 2 4" xfId="2250"/>
    <cellStyle name="20% - Accent6 2 2 2 4 2" xfId="2251"/>
    <cellStyle name="20% - Accent6 2 2 2 4 2 2" xfId="14978"/>
    <cellStyle name="20% - Accent6 2 2 2 4 2 2 2" xfId="28527"/>
    <cellStyle name="20% - Accent6 2 2 2 4 2 3" xfId="19575"/>
    <cellStyle name="20% - Accent6 2 2 2 4 3" xfId="10866"/>
    <cellStyle name="20% - Accent6 2 2 2 4 3 2" xfId="24808"/>
    <cellStyle name="20% - Accent6 2 2 2 4 4" xfId="19574"/>
    <cellStyle name="20% - Accent6 2 2 2 5" xfId="2252"/>
    <cellStyle name="20% - Accent6 2 2 2 5 2" xfId="12059"/>
    <cellStyle name="20% - Accent6 2 2 2 5 2 2" xfId="25774"/>
    <cellStyle name="20% - Accent6 2 2 2 5 3" xfId="19576"/>
    <cellStyle name="20% - Accent6 2 2 2 6" xfId="2253"/>
    <cellStyle name="20% - Accent6 2 2 2 6 2" xfId="12451"/>
    <cellStyle name="20% - Accent6 2 2 2 6 2 2" xfId="26163"/>
    <cellStyle name="20% - Accent6 2 2 2 6 3" xfId="19577"/>
    <cellStyle name="20% - Accent6 2 2 2 7" xfId="2254"/>
    <cellStyle name="20% - Accent6 2 2 2 7 2" xfId="13634"/>
    <cellStyle name="20% - Accent6 2 2 2 7 2 2" xfId="27183"/>
    <cellStyle name="20% - Accent6 2 2 2 7 3" xfId="19578"/>
    <cellStyle name="20% - Accent6 2 2 2 8" xfId="2255"/>
    <cellStyle name="20% - Accent6 2 2 2 8 2" xfId="14215"/>
    <cellStyle name="20% - Accent6 2 2 2 8 2 2" xfId="27764"/>
    <cellStyle name="20% - Accent6 2 2 2 8 3" xfId="19579"/>
    <cellStyle name="20% - Accent6 2 2 2 9" xfId="2256"/>
    <cellStyle name="20% - Accent6 2 2 2 9 2" xfId="14973"/>
    <cellStyle name="20% - Accent6 2 2 2 9 2 2" xfId="28522"/>
    <cellStyle name="20% - Accent6 2 2 2 9 3" xfId="19580"/>
    <cellStyle name="20% - Accent6 2 2 3" xfId="2257"/>
    <cellStyle name="20% - Accent6 2 2 3 10" xfId="9144"/>
    <cellStyle name="20% - Accent6 2 2 3 10 2" xfId="23619"/>
    <cellStyle name="20% - Accent6 2 2 3 11" xfId="19581"/>
    <cellStyle name="20% - Accent6 2 2 3 2" xfId="2258"/>
    <cellStyle name="20% - Accent6 2 2 3 2 2" xfId="2259"/>
    <cellStyle name="20% - Accent6 2 2 3 2 2 2" xfId="10871"/>
    <cellStyle name="20% - Accent6 2 2 3 2 2 2 2" xfId="24813"/>
    <cellStyle name="20% - Accent6 2 2 3 2 2 3" xfId="19583"/>
    <cellStyle name="20% - Accent6 2 2 3 2 3" xfId="2260"/>
    <cellStyle name="20% - Accent6 2 2 3 2 3 2" xfId="11957"/>
    <cellStyle name="20% - Accent6 2 2 3 2 3 2 2" xfId="25672"/>
    <cellStyle name="20% - Accent6 2 2 3 2 3 3" xfId="19584"/>
    <cellStyle name="20% - Accent6 2 2 3 2 4" xfId="2261"/>
    <cellStyle name="20% - Accent6 2 2 3 2 4 2" xfId="14980"/>
    <cellStyle name="20% - Accent6 2 2 3 2 4 2 2" xfId="28529"/>
    <cellStyle name="20% - Accent6 2 2 3 2 4 3" xfId="19585"/>
    <cellStyle name="20% - Accent6 2 2 3 2 5" xfId="2262"/>
    <cellStyle name="20% - Accent6 2 2 3 2 5 2" xfId="16828"/>
    <cellStyle name="20% - Accent6 2 2 3 2 5 2 2" xfId="30235"/>
    <cellStyle name="20% - Accent6 2 2 3 2 5 3" xfId="19586"/>
    <cellStyle name="20% - Accent6 2 2 3 2 6" xfId="9145"/>
    <cellStyle name="20% - Accent6 2 2 3 2 6 2" xfId="23620"/>
    <cellStyle name="20% - Accent6 2 2 3 2 7" xfId="19582"/>
    <cellStyle name="20% - Accent6 2 2 3 3" xfId="2263"/>
    <cellStyle name="20% - Accent6 2 2 3 3 2" xfId="2264"/>
    <cellStyle name="20% - Accent6 2 2 3 3 2 2" xfId="14981"/>
    <cellStyle name="20% - Accent6 2 2 3 3 2 2 2" xfId="28530"/>
    <cellStyle name="20% - Accent6 2 2 3 3 2 3" xfId="19588"/>
    <cellStyle name="20% - Accent6 2 2 3 3 3" xfId="10870"/>
    <cellStyle name="20% - Accent6 2 2 3 3 3 2" xfId="24812"/>
    <cellStyle name="20% - Accent6 2 2 3 3 4" xfId="19587"/>
    <cellStyle name="20% - Accent6 2 2 3 4" xfId="2265"/>
    <cellStyle name="20% - Accent6 2 2 3 4 2" xfId="12216"/>
    <cellStyle name="20% - Accent6 2 2 3 4 2 2" xfId="25928"/>
    <cellStyle name="20% - Accent6 2 2 3 4 3" xfId="19589"/>
    <cellStyle name="20% - Accent6 2 2 3 5" xfId="2266"/>
    <cellStyle name="20% - Accent6 2 2 3 5 2" xfId="12614"/>
    <cellStyle name="20% - Accent6 2 2 3 5 2 2" xfId="26326"/>
    <cellStyle name="20% - Accent6 2 2 3 5 3" xfId="19590"/>
    <cellStyle name="20% - Accent6 2 2 3 6" xfId="2267"/>
    <cellStyle name="20% - Accent6 2 2 3 6 2" xfId="13780"/>
    <cellStyle name="20% - Accent6 2 2 3 6 2 2" xfId="27329"/>
    <cellStyle name="20% - Accent6 2 2 3 6 3" xfId="19591"/>
    <cellStyle name="20% - Accent6 2 2 3 7" xfId="2268"/>
    <cellStyle name="20% - Accent6 2 2 3 7 2" xfId="14361"/>
    <cellStyle name="20% - Accent6 2 2 3 7 2 2" xfId="27910"/>
    <cellStyle name="20% - Accent6 2 2 3 7 3" xfId="19592"/>
    <cellStyle name="20% - Accent6 2 2 3 8" xfId="2269"/>
    <cellStyle name="20% - Accent6 2 2 3 8 2" xfId="14979"/>
    <cellStyle name="20% - Accent6 2 2 3 8 2 2" xfId="28528"/>
    <cellStyle name="20% - Accent6 2 2 3 8 3" xfId="19593"/>
    <cellStyle name="20% - Accent6 2 2 3 9" xfId="2270"/>
    <cellStyle name="20% - Accent6 2 2 3 9 2" xfId="16247"/>
    <cellStyle name="20% - Accent6 2 2 3 9 2 2" xfId="29654"/>
    <cellStyle name="20% - Accent6 2 2 3 9 3" xfId="19594"/>
    <cellStyle name="20% - Accent6 2 2 4" xfId="2271"/>
    <cellStyle name="20% - Accent6 2 2 4 2" xfId="2272"/>
    <cellStyle name="20% - Accent6 2 2 4 2 2" xfId="10872"/>
    <cellStyle name="20% - Accent6 2 2 4 2 2 2" xfId="24814"/>
    <cellStyle name="20% - Accent6 2 2 4 2 3" xfId="19596"/>
    <cellStyle name="20% - Accent6 2 2 4 3" xfId="2273"/>
    <cellStyle name="20% - Accent6 2 2 4 3 2" xfId="12551"/>
    <cellStyle name="20% - Accent6 2 2 4 3 2 2" xfId="26263"/>
    <cellStyle name="20% - Accent6 2 2 4 3 3" xfId="19597"/>
    <cellStyle name="20% - Accent6 2 2 4 4" xfId="2274"/>
    <cellStyle name="20% - Accent6 2 2 4 4 2" xfId="14982"/>
    <cellStyle name="20% - Accent6 2 2 4 4 2 2" xfId="28531"/>
    <cellStyle name="20% - Accent6 2 2 4 4 3" xfId="19598"/>
    <cellStyle name="20% - Accent6 2 2 4 5" xfId="2275"/>
    <cellStyle name="20% - Accent6 2 2 4 5 2" xfId="17175"/>
    <cellStyle name="20% - Accent6 2 2 4 5 2 2" xfId="30534"/>
    <cellStyle name="20% - Accent6 2 2 4 5 3" xfId="19599"/>
    <cellStyle name="20% - Accent6 2 2 4 6" xfId="9146"/>
    <cellStyle name="20% - Accent6 2 2 4 6 2" xfId="23621"/>
    <cellStyle name="20% - Accent6 2 2 4 7" xfId="19595"/>
    <cellStyle name="20% - Accent6 2 2 5" xfId="2276"/>
    <cellStyle name="20% - Accent6 2 2 5 2" xfId="2277"/>
    <cellStyle name="20% - Accent6 2 2 5 2 2" xfId="14983"/>
    <cellStyle name="20% - Accent6 2 2 5 2 2 2" xfId="28532"/>
    <cellStyle name="20% - Accent6 2 2 5 2 3" xfId="19601"/>
    <cellStyle name="20% - Accent6 2 2 5 3" xfId="2278"/>
    <cellStyle name="20% - Accent6 2 2 5 3 2" xfId="17264"/>
    <cellStyle name="20% - Accent6 2 2 5 3 2 2" xfId="30623"/>
    <cellStyle name="20% - Accent6 2 2 5 3 3" xfId="19602"/>
    <cellStyle name="20% - Accent6 2 2 5 4" xfId="10865"/>
    <cellStyle name="20% - Accent6 2 2 5 4 2" xfId="24807"/>
    <cellStyle name="20% - Accent6 2 2 5 5" xfId="19600"/>
    <cellStyle name="20% - Accent6 2 2 6" xfId="2279"/>
    <cellStyle name="20% - Accent6 2 2 6 2" xfId="2280"/>
    <cellStyle name="20% - Accent6 2 2 6 2 2" xfId="16539"/>
    <cellStyle name="20% - Accent6 2 2 6 2 2 2" xfId="29946"/>
    <cellStyle name="20% - Accent6 2 2 6 2 3" xfId="19604"/>
    <cellStyle name="20% - Accent6 2 2 6 3" xfId="11914"/>
    <cellStyle name="20% - Accent6 2 2 6 3 2" xfId="25629"/>
    <cellStyle name="20% - Accent6 2 2 6 4" xfId="19603"/>
    <cellStyle name="20% - Accent6 2 2 7" xfId="2281"/>
    <cellStyle name="20% - Accent6 2 2 7 2" xfId="12810"/>
    <cellStyle name="20% - Accent6 2 2 7 2 2" xfId="26522"/>
    <cellStyle name="20% - Accent6 2 2 7 3" xfId="19605"/>
    <cellStyle name="20% - Accent6 2 2 8" xfId="2282"/>
    <cellStyle name="20% - Accent6 2 2 8 2" xfId="13491"/>
    <cellStyle name="20% - Accent6 2 2 8 2 2" xfId="27040"/>
    <cellStyle name="20% - Accent6 2 2 8 3" xfId="19606"/>
    <cellStyle name="20% - Accent6 2 2 9" xfId="2283"/>
    <cellStyle name="20% - Accent6 2 2 9 2" xfId="14072"/>
    <cellStyle name="20% - Accent6 2 2 9 2 2" xfId="27621"/>
    <cellStyle name="20% - Accent6 2 2 9 3" xfId="19607"/>
    <cellStyle name="20% - Accent6 2 3" xfId="2284"/>
    <cellStyle name="20% - Accent6 2 3 10" xfId="2285"/>
    <cellStyle name="20% - Accent6 2 3 10 2" xfId="16055"/>
    <cellStyle name="20% - Accent6 2 3 10 2 2" xfId="29462"/>
    <cellStyle name="20% - Accent6 2 3 10 3" xfId="19609"/>
    <cellStyle name="20% - Accent6 2 3 11" xfId="9147"/>
    <cellStyle name="20% - Accent6 2 3 11 2" xfId="23622"/>
    <cellStyle name="20% - Accent6 2 3 12" xfId="19608"/>
    <cellStyle name="20% - Accent6 2 3 2" xfId="2286"/>
    <cellStyle name="20% - Accent6 2 3 2 10" xfId="9148"/>
    <cellStyle name="20% - Accent6 2 3 2 10 2" xfId="23623"/>
    <cellStyle name="20% - Accent6 2 3 2 11" xfId="19610"/>
    <cellStyle name="20% - Accent6 2 3 2 2" xfId="2287"/>
    <cellStyle name="20% - Accent6 2 3 2 2 2" xfId="2288"/>
    <cellStyle name="20% - Accent6 2 3 2 2 2 2" xfId="10875"/>
    <cellStyle name="20% - Accent6 2 3 2 2 2 2 2" xfId="24817"/>
    <cellStyle name="20% - Accent6 2 3 2 2 2 3" xfId="19612"/>
    <cellStyle name="20% - Accent6 2 3 2 2 3" xfId="2289"/>
    <cellStyle name="20% - Accent6 2 3 2 2 3 2" xfId="12768"/>
    <cellStyle name="20% - Accent6 2 3 2 2 3 2 2" xfId="26480"/>
    <cellStyle name="20% - Accent6 2 3 2 2 3 3" xfId="19613"/>
    <cellStyle name="20% - Accent6 2 3 2 2 4" xfId="2290"/>
    <cellStyle name="20% - Accent6 2 3 2 2 4 2" xfId="14986"/>
    <cellStyle name="20% - Accent6 2 3 2 2 4 2 2" xfId="28535"/>
    <cellStyle name="20% - Accent6 2 3 2 2 4 3" xfId="19614"/>
    <cellStyle name="20% - Accent6 2 3 2 2 5" xfId="2291"/>
    <cellStyle name="20% - Accent6 2 3 2 2 5 2" xfId="16925"/>
    <cellStyle name="20% - Accent6 2 3 2 2 5 2 2" xfId="30332"/>
    <cellStyle name="20% - Accent6 2 3 2 2 5 3" xfId="19615"/>
    <cellStyle name="20% - Accent6 2 3 2 2 6" xfId="9149"/>
    <cellStyle name="20% - Accent6 2 3 2 2 6 2" xfId="23624"/>
    <cellStyle name="20% - Accent6 2 3 2 2 7" xfId="19611"/>
    <cellStyle name="20% - Accent6 2 3 2 3" xfId="2292"/>
    <cellStyle name="20% - Accent6 2 3 2 3 2" xfId="2293"/>
    <cellStyle name="20% - Accent6 2 3 2 3 2 2" xfId="14987"/>
    <cellStyle name="20% - Accent6 2 3 2 3 2 2 2" xfId="28536"/>
    <cellStyle name="20% - Accent6 2 3 2 3 2 3" xfId="19617"/>
    <cellStyle name="20% - Accent6 2 3 2 3 3" xfId="10874"/>
    <cellStyle name="20% - Accent6 2 3 2 3 3 2" xfId="24816"/>
    <cellStyle name="20% - Accent6 2 3 2 3 4" xfId="19616"/>
    <cellStyle name="20% - Accent6 2 3 2 4" xfId="2294"/>
    <cellStyle name="20% - Accent6 2 3 2 4 2" xfId="12313"/>
    <cellStyle name="20% - Accent6 2 3 2 4 2 2" xfId="26025"/>
    <cellStyle name="20% - Accent6 2 3 2 4 3" xfId="19618"/>
    <cellStyle name="20% - Accent6 2 3 2 5" xfId="2295"/>
    <cellStyle name="20% - Accent6 2 3 2 5 2" xfId="12767"/>
    <cellStyle name="20% - Accent6 2 3 2 5 2 2" xfId="26479"/>
    <cellStyle name="20% - Accent6 2 3 2 5 3" xfId="19619"/>
    <cellStyle name="20% - Accent6 2 3 2 6" xfId="2296"/>
    <cellStyle name="20% - Accent6 2 3 2 6 2" xfId="13877"/>
    <cellStyle name="20% - Accent6 2 3 2 6 2 2" xfId="27426"/>
    <cellStyle name="20% - Accent6 2 3 2 6 3" xfId="19620"/>
    <cellStyle name="20% - Accent6 2 3 2 7" xfId="2297"/>
    <cellStyle name="20% - Accent6 2 3 2 7 2" xfId="14458"/>
    <cellStyle name="20% - Accent6 2 3 2 7 2 2" xfId="28007"/>
    <cellStyle name="20% - Accent6 2 3 2 7 3" xfId="19621"/>
    <cellStyle name="20% - Accent6 2 3 2 8" xfId="2298"/>
    <cellStyle name="20% - Accent6 2 3 2 8 2" xfId="14985"/>
    <cellStyle name="20% - Accent6 2 3 2 8 2 2" xfId="28534"/>
    <cellStyle name="20% - Accent6 2 3 2 8 3" xfId="19622"/>
    <cellStyle name="20% - Accent6 2 3 2 9" xfId="2299"/>
    <cellStyle name="20% - Accent6 2 3 2 9 2" xfId="16344"/>
    <cellStyle name="20% - Accent6 2 3 2 9 2 2" xfId="29751"/>
    <cellStyle name="20% - Accent6 2 3 2 9 3" xfId="19623"/>
    <cellStyle name="20% - Accent6 2 3 3" xfId="2300"/>
    <cellStyle name="20% - Accent6 2 3 3 2" xfId="2301"/>
    <cellStyle name="20% - Accent6 2 3 3 2 2" xfId="10876"/>
    <cellStyle name="20% - Accent6 2 3 3 2 2 2" xfId="24818"/>
    <cellStyle name="20% - Accent6 2 3 3 2 3" xfId="19625"/>
    <cellStyle name="20% - Accent6 2 3 3 3" xfId="2302"/>
    <cellStyle name="20% - Accent6 2 3 3 3 2" xfId="12455"/>
    <cellStyle name="20% - Accent6 2 3 3 3 2 2" xfId="26167"/>
    <cellStyle name="20% - Accent6 2 3 3 3 3" xfId="19626"/>
    <cellStyle name="20% - Accent6 2 3 3 4" xfId="2303"/>
    <cellStyle name="20% - Accent6 2 3 3 4 2" xfId="14988"/>
    <cellStyle name="20% - Accent6 2 3 3 4 2 2" xfId="28537"/>
    <cellStyle name="20% - Accent6 2 3 3 4 3" xfId="19627"/>
    <cellStyle name="20% - Accent6 2 3 3 5" xfId="2304"/>
    <cellStyle name="20% - Accent6 2 3 3 5 2" xfId="16636"/>
    <cellStyle name="20% - Accent6 2 3 3 5 2 2" xfId="30043"/>
    <cellStyle name="20% - Accent6 2 3 3 5 3" xfId="19628"/>
    <cellStyle name="20% - Accent6 2 3 3 6" xfId="9150"/>
    <cellStyle name="20% - Accent6 2 3 3 6 2" xfId="23625"/>
    <cellStyle name="20% - Accent6 2 3 3 7" xfId="19624"/>
    <cellStyle name="20% - Accent6 2 3 4" xfId="2305"/>
    <cellStyle name="20% - Accent6 2 3 4 2" xfId="2306"/>
    <cellStyle name="20% - Accent6 2 3 4 2 2" xfId="14989"/>
    <cellStyle name="20% - Accent6 2 3 4 2 2 2" xfId="28538"/>
    <cellStyle name="20% - Accent6 2 3 4 2 3" xfId="19630"/>
    <cellStyle name="20% - Accent6 2 3 4 3" xfId="10873"/>
    <cellStyle name="20% - Accent6 2 3 4 3 2" xfId="24815"/>
    <cellStyle name="20% - Accent6 2 3 4 4" xfId="19629"/>
    <cellStyle name="20% - Accent6 2 3 5" xfId="2307"/>
    <cellStyle name="20% - Accent6 2 3 5 2" xfId="12013"/>
    <cellStyle name="20% - Accent6 2 3 5 2 2" xfId="25728"/>
    <cellStyle name="20% - Accent6 2 3 5 3" xfId="19631"/>
    <cellStyle name="20% - Accent6 2 3 6" xfId="2308"/>
    <cellStyle name="20% - Accent6 2 3 6 2" xfId="11774"/>
    <cellStyle name="20% - Accent6 2 3 6 2 2" xfId="25489"/>
    <cellStyle name="20% - Accent6 2 3 6 3" xfId="19632"/>
    <cellStyle name="20% - Accent6 2 3 7" xfId="2309"/>
    <cellStyle name="20% - Accent6 2 3 7 2" xfId="13588"/>
    <cellStyle name="20% - Accent6 2 3 7 2 2" xfId="27137"/>
    <cellStyle name="20% - Accent6 2 3 7 3" xfId="19633"/>
    <cellStyle name="20% - Accent6 2 3 8" xfId="2310"/>
    <cellStyle name="20% - Accent6 2 3 8 2" xfId="14169"/>
    <cellStyle name="20% - Accent6 2 3 8 2 2" xfId="27718"/>
    <cellStyle name="20% - Accent6 2 3 8 3" xfId="19634"/>
    <cellStyle name="20% - Accent6 2 3 9" xfId="2311"/>
    <cellStyle name="20% - Accent6 2 3 9 2" xfId="14984"/>
    <cellStyle name="20% - Accent6 2 3 9 2 2" xfId="28533"/>
    <cellStyle name="20% - Accent6 2 3 9 3" xfId="19635"/>
    <cellStyle name="20% - Accent6 2 4" xfId="2312"/>
    <cellStyle name="20% - Accent6 2 4 10" xfId="9151"/>
    <cellStyle name="20% - Accent6 2 4 10 2" xfId="23626"/>
    <cellStyle name="20% - Accent6 2 4 11" xfId="19636"/>
    <cellStyle name="20% - Accent6 2 4 2" xfId="2313"/>
    <cellStyle name="20% - Accent6 2 4 2 2" xfId="2314"/>
    <cellStyle name="20% - Accent6 2 4 2 2 2" xfId="10878"/>
    <cellStyle name="20% - Accent6 2 4 2 2 2 2" xfId="24820"/>
    <cellStyle name="20% - Accent6 2 4 2 2 3" xfId="19638"/>
    <cellStyle name="20% - Accent6 2 4 2 3" xfId="2315"/>
    <cellStyle name="20% - Accent6 2 4 2 3 2" xfId="12581"/>
    <cellStyle name="20% - Accent6 2 4 2 3 2 2" xfId="26293"/>
    <cellStyle name="20% - Accent6 2 4 2 3 3" xfId="19639"/>
    <cellStyle name="20% - Accent6 2 4 2 4" xfId="2316"/>
    <cellStyle name="20% - Accent6 2 4 2 4 2" xfId="14991"/>
    <cellStyle name="20% - Accent6 2 4 2 4 2 2" xfId="28540"/>
    <cellStyle name="20% - Accent6 2 4 2 4 3" xfId="19640"/>
    <cellStyle name="20% - Accent6 2 4 2 5" xfId="2317"/>
    <cellStyle name="20% - Accent6 2 4 2 5 2" xfId="16782"/>
    <cellStyle name="20% - Accent6 2 4 2 5 2 2" xfId="30189"/>
    <cellStyle name="20% - Accent6 2 4 2 5 3" xfId="19641"/>
    <cellStyle name="20% - Accent6 2 4 2 6" xfId="9152"/>
    <cellStyle name="20% - Accent6 2 4 2 6 2" xfId="23627"/>
    <cellStyle name="20% - Accent6 2 4 2 7" xfId="19637"/>
    <cellStyle name="20% - Accent6 2 4 3" xfId="2318"/>
    <cellStyle name="20% - Accent6 2 4 3 2" xfId="2319"/>
    <cellStyle name="20% - Accent6 2 4 3 2 2" xfId="14992"/>
    <cellStyle name="20% - Accent6 2 4 3 2 2 2" xfId="28541"/>
    <cellStyle name="20% - Accent6 2 4 3 2 3" xfId="19643"/>
    <cellStyle name="20% - Accent6 2 4 3 3" xfId="10877"/>
    <cellStyle name="20% - Accent6 2 4 3 3 2" xfId="24819"/>
    <cellStyle name="20% - Accent6 2 4 3 4" xfId="19642"/>
    <cellStyle name="20% - Accent6 2 4 4" xfId="2320"/>
    <cellStyle name="20% - Accent6 2 4 4 2" xfId="12170"/>
    <cellStyle name="20% - Accent6 2 4 4 2 2" xfId="25882"/>
    <cellStyle name="20% - Accent6 2 4 4 3" xfId="19644"/>
    <cellStyle name="20% - Accent6 2 4 5" xfId="2321"/>
    <cellStyle name="20% - Accent6 2 4 5 2" xfId="11768"/>
    <cellStyle name="20% - Accent6 2 4 5 2 2" xfId="25483"/>
    <cellStyle name="20% - Accent6 2 4 5 3" xfId="19645"/>
    <cellStyle name="20% - Accent6 2 4 6" xfId="2322"/>
    <cellStyle name="20% - Accent6 2 4 6 2" xfId="13734"/>
    <cellStyle name="20% - Accent6 2 4 6 2 2" xfId="27283"/>
    <cellStyle name="20% - Accent6 2 4 6 3" xfId="19646"/>
    <cellStyle name="20% - Accent6 2 4 7" xfId="2323"/>
    <cellStyle name="20% - Accent6 2 4 7 2" xfId="14315"/>
    <cellStyle name="20% - Accent6 2 4 7 2 2" xfId="27864"/>
    <cellStyle name="20% - Accent6 2 4 7 3" xfId="19647"/>
    <cellStyle name="20% - Accent6 2 4 8" xfId="2324"/>
    <cellStyle name="20% - Accent6 2 4 8 2" xfId="14990"/>
    <cellStyle name="20% - Accent6 2 4 8 2 2" xfId="28539"/>
    <cellStyle name="20% - Accent6 2 4 8 3" xfId="19648"/>
    <cellStyle name="20% - Accent6 2 4 9" xfId="2325"/>
    <cellStyle name="20% - Accent6 2 4 9 2" xfId="16201"/>
    <cellStyle name="20% - Accent6 2 4 9 2 2" xfId="29608"/>
    <cellStyle name="20% - Accent6 2 4 9 3" xfId="19649"/>
    <cellStyle name="20% - Accent6 2 5" xfId="2326"/>
    <cellStyle name="20% - Accent6 2 5 2" xfId="2327"/>
    <cellStyle name="20% - Accent6 2 5 2 2" xfId="2328"/>
    <cellStyle name="20% - Accent6 2 5 2 2 2" xfId="10880"/>
    <cellStyle name="20% - Accent6 2 5 2 2 2 2" xfId="24822"/>
    <cellStyle name="20% - Accent6 2 5 2 2 3" xfId="19652"/>
    <cellStyle name="20% - Accent6 2 5 2 3" xfId="2329"/>
    <cellStyle name="20% - Accent6 2 5 2 3 2" xfId="12518"/>
    <cellStyle name="20% - Accent6 2 5 2 3 2 2" xfId="26230"/>
    <cellStyle name="20% - Accent6 2 5 2 3 3" xfId="19653"/>
    <cellStyle name="20% - Accent6 2 5 2 4" xfId="2330"/>
    <cellStyle name="20% - Accent6 2 5 2 4 2" xfId="14994"/>
    <cellStyle name="20% - Accent6 2 5 2 4 2 2" xfId="28543"/>
    <cellStyle name="20% - Accent6 2 5 2 4 3" xfId="19654"/>
    <cellStyle name="20% - Accent6 2 5 2 5" xfId="9154"/>
    <cellStyle name="20% - Accent6 2 5 2 5 2" xfId="23629"/>
    <cellStyle name="20% - Accent6 2 5 2 6" xfId="19651"/>
    <cellStyle name="20% - Accent6 2 5 3" xfId="2331"/>
    <cellStyle name="20% - Accent6 2 5 3 2" xfId="10879"/>
    <cellStyle name="20% - Accent6 2 5 3 2 2" xfId="24821"/>
    <cellStyle name="20% - Accent6 2 5 3 3" xfId="19655"/>
    <cellStyle name="20% - Accent6 2 5 4" xfId="2332"/>
    <cellStyle name="20% - Accent6 2 5 4 2" xfId="12576"/>
    <cellStyle name="20% - Accent6 2 5 4 2 2" xfId="26288"/>
    <cellStyle name="20% - Accent6 2 5 4 3" xfId="19656"/>
    <cellStyle name="20% - Accent6 2 5 5" xfId="2333"/>
    <cellStyle name="20% - Accent6 2 5 5 2" xfId="14993"/>
    <cellStyle name="20% - Accent6 2 5 5 2 2" xfId="28542"/>
    <cellStyle name="20% - Accent6 2 5 5 3" xfId="19657"/>
    <cellStyle name="20% - Accent6 2 5 6" xfId="2334"/>
    <cellStyle name="20% - Accent6 2 5 6 2" xfId="17012"/>
    <cellStyle name="20% - Accent6 2 5 6 2 2" xfId="30419"/>
    <cellStyle name="20% - Accent6 2 5 6 3" xfId="19658"/>
    <cellStyle name="20% - Accent6 2 5 7" xfId="9153"/>
    <cellStyle name="20% - Accent6 2 5 7 2" xfId="23628"/>
    <cellStyle name="20% - Accent6 2 5 8" xfId="19650"/>
    <cellStyle name="20% - Accent6 2 6" xfId="2335"/>
    <cellStyle name="20% - Accent6 2 6 2" xfId="2336"/>
    <cellStyle name="20% - Accent6 2 6 2 2" xfId="10881"/>
    <cellStyle name="20% - Accent6 2 6 2 2 2" xfId="24823"/>
    <cellStyle name="20% - Accent6 2 6 2 3" xfId="19660"/>
    <cellStyle name="20% - Accent6 2 6 3" xfId="2337"/>
    <cellStyle name="20% - Accent6 2 6 3 2" xfId="12610"/>
    <cellStyle name="20% - Accent6 2 6 3 2 2" xfId="26322"/>
    <cellStyle name="20% - Accent6 2 6 3 3" xfId="19661"/>
    <cellStyle name="20% - Accent6 2 6 4" xfId="2338"/>
    <cellStyle name="20% - Accent6 2 6 4 2" xfId="14995"/>
    <cellStyle name="20% - Accent6 2 6 4 2 2" xfId="28544"/>
    <cellStyle name="20% - Accent6 2 6 4 3" xfId="19662"/>
    <cellStyle name="20% - Accent6 2 6 5" xfId="2339"/>
    <cellStyle name="20% - Accent6 2 6 5 2" xfId="17129"/>
    <cellStyle name="20% - Accent6 2 6 5 2 2" xfId="30488"/>
    <cellStyle name="20% - Accent6 2 6 5 3" xfId="19663"/>
    <cellStyle name="20% - Accent6 2 6 6" xfId="9155"/>
    <cellStyle name="20% - Accent6 2 6 6 2" xfId="23630"/>
    <cellStyle name="20% - Accent6 2 6 7" xfId="19659"/>
    <cellStyle name="20% - Accent6 2 7" xfId="2340"/>
    <cellStyle name="20% - Accent6 2 7 2" xfId="2341"/>
    <cellStyle name="20% - Accent6 2 7 2 2" xfId="10882"/>
    <cellStyle name="20% - Accent6 2 7 2 2 2" xfId="24824"/>
    <cellStyle name="20% - Accent6 2 7 2 3" xfId="19665"/>
    <cellStyle name="20% - Accent6 2 7 3" xfId="2342"/>
    <cellStyle name="20% - Accent6 2 7 3 2" xfId="12651"/>
    <cellStyle name="20% - Accent6 2 7 3 2 2" xfId="26363"/>
    <cellStyle name="20% - Accent6 2 7 3 3" xfId="19666"/>
    <cellStyle name="20% - Accent6 2 7 4" xfId="2343"/>
    <cellStyle name="20% - Accent6 2 7 4 2" xfId="14996"/>
    <cellStyle name="20% - Accent6 2 7 4 2 2" xfId="28545"/>
    <cellStyle name="20% - Accent6 2 7 4 3" xfId="19667"/>
    <cellStyle name="20% - Accent6 2 7 5" xfId="2344"/>
    <cellStyle name="20% - Accent6 2 7 5 2" xfId="17218"/>
    <cellStyle name="20% - Accent6 2 7 5 2 2" xfId="30577"/>
    <cellStyle name="20% - Accent6 2 7 5 3" xfId="19668"/>
    <cellStyle name="20% - Accent6 2 7 6" xfId="9156"/>
    <cellStyle name="20% - Accent6 2 7 6 2" xfId="23631"/>
    <cellStyle name="20% - Accent6 2 7 7" xfId="19664"/>
    <cellStyle name="20% - Accent6 2 8" xfId="2345"/>
    <cellStyle name="20% - Accent6 2 8 2" xfId="2346"/>
    <cellStyle name="20% - Accent6 2 8 2 2" xfId="12438"/>
    <cellStyle name="20% - Accent6 2 8 2 2 2" xfId="26150"/>
    <cellStyle name="20% - Accent6 2 8 2 3" xfId="19670"/>
    <cellStyle name="20% - Accent6 2 8 3" xfId="2347"/>
    <cellStyle name="20% - Accent6 2 8 3 2" xfId="14997"/>
    <cellStyle name="20% - Accent6 2 8 3 2 2" xfId="28546"/>
    <cellStyle name="20% - Accent6 2 8 3 3" xfId="19671"/>
    <cellStyle name="20% - Accent6 2 8 4" xfId="2348"/>
    <cellStyle name="20% - Accent6 2 8 4 2" xfId="16493"/>
    <cellStyle name="20% - Accent6 2 8 4 2 2" xfId="29900"/>
    <cellStyle name="20% - Accent6 2 8 4 3" xfId="19672"/>
    <cellStyle name="20% - Accent6 2 8 5" xfId="10533"/>
    <cellStyle name="20% - Accent6 2 8 5 2" xfId="24475"/>
    <cellStyle name="20% - Accent6 2 8 6" xfId="19669"/>
    <cellStyle name="20% - Accent6 2 9" xfId="2349"/>
    <cellStyle name="20% - Accent6 2 9 2" xfId="2350"/>
    <cellStyle name="20% - Accent6 2 9 2 2" xfId="12658"/>
    <cellStyle name="20% - Accent6 2 9 2 2 2" xfId="26370"/>
    <cellStyle name="20% - Accent6 2 9 2 3" xfId="19674"/>
    <cellStyle name="20% - Accent6 2 9 3" xfId="2351"/>
    <cellStyle name="20% - Accent6 2 9 3 2" xfId="14998"/>
    <cellStyle name="20% - Accent6 2 9 3 2 2" xfId="28547"/>
    <cellStyle name="20% - Accent6 2 9 3 3" xfId="19675"/>
    <cellStyle name="20% - Accent6 2 9 4" xfId="10864"/>
    <cellStyle name="20% - Accent6 2 9 4 2" xfId="24806"/>
    <cellStyle name="20% - Accent6 2 9 5" xfId="19673"/>
    <cellStyle name="20% - Accent6 20" xfId="2352"/>
    <cellStyle name="20% - Accent6 20 2" xfId="2353"/>
    <cellStyle name="20% - Accent6 20 2 2" xfId="12426"/>
    <cellStyle name="20% - Accent6 20 2 2 2" xfId="26138"/>
    <cellStyle name="20% - Accent6 20 2 3" xfId="19677"/>
    <cellStyle name="20% - Accent6 20 3" xfId="2354"/>
    <cellStyle name="20% - Accent6 20 3 2" xfId="14999"/>
    <cellStyle name="20% - Accent6 20 3 2 2" xfId="28548"/>
    <cellStyle name="20% - Accent6 20 3 3" xfId="19678"/>
    <cellStyle name="20% - Accent6 20 4" xfId="10508"/>
    <cellStyle name="20% - Accent6 20 4 2" xfId="24456"/>
    <cellStyle name="20% - Accent6 20 5" xfId="19676"/>
    <cellStyle name="20% - Accent6 21" xfId="2355"/>
    <cellStyle name="20% - Accent6 21 2" xfId="2356"/>
    <cellStyle name="20% - Accent6 21 2 2" xfId="12745"/>
    <cellStyle name="20% - Accent6 21 2 2 2" xfId="26457"/>
    <cellStyle name="20% - Accent6 21 2 3" xfId="19680"/>
    <cellStyle name="20% - Accent6 21 3" xfId="2357"/>
    <cellStyle name="20% - Accent6 21 3 2" xfId="15000"/>
    <cellStyle name="20% - Accent6 21 3 2 2" xfId="28549"/>
    <cellStyle name="20% - Accent6 21 3 3" xfId="19681"/>
    <cellStyle name="20% - Accent6 21 4" xfId="10853"/>
    <cellStyle name="20% - Accent6 21 4 2" xfId="24795"/>
    <cellStyle name="20% - Accent6 21 5" xfId="19679"/>
    <cellStyle name="20% - Accent6 22" xfId="2358"/>
    <cellStyle name="20% - Accent6 22 2" xfId="11744"/>
    <cellStyle name="20% - Accent6 22 2 2" xfId="25459"/>
    <cellStyle name="20% - Accent6 22 3" xfId="19682"/>
    <cellStyle name="20% - Accent6 23" xfId="2359"/>
    <cellStyle name="20% - Accent6 23 2" xfId="12476"/>
    <cellStyle name="20% - Accent6 23 2 2" xfId="26188"/>
    <cellStyle name="20% - Accent6 23 3" xfId="19683"/>
    <cellStyle name="20% - Accent6 24" xfId="2360"/>
    <cellStyle name="20% - Accent6 24 2" xfId="13383"/>
    <cellStyle name="20% - Accent6 24 2 2" xfId="26932"/>
    <cellStyle name="20% - Accent6 24 3" xfId="19684"/>
    <cellStyle name="20% - Accent6 25" xfId="2361"/>
    <cellStyle name="20% - Accent6 25 2" xfId="13964"/>
    <cellStyle name="20% - Accent6 25 2 2" xfId="27513"/>
    <cellStyle name="20% - Accent6 25 3" xfId="19685"/>
    <cellStyle name="20% - Accent6 26" xfId="2362"/>
    <cellStyle name="20% - Accent6 26 2" xfId="14957"/>
    <cellStyle name="20% - Accent6 26 2 2" xfId="28506"/>
    <cellStyle name="20% - Accent6 26 3" xfId="19686"/>
    <cellStyle name="20% - Accent6 27" xfId="2363"/>
    <cellStyle name="20% - Accent6 27 2" xfId="15841"/>
    <cellStyle name="20% - Accent6 27 2 2" xfId="29248"/>
    <cellStyle name="20% - Accent6 27 3" xfId="19687"/>
    <cellStyle name="20% - Accent6 28" xfId="2364"/>
    <cellStyle name="20% - Accent6 28 2" xfId="15850"/>
    <cellStyle name="20% - Accent6 28 2 2" xfId="29257"/>
    <cellStyle name="20% - Accent6 28 3" xfId="19688"/>
    <cellStyle name="20% - Accent6 29" xfId="2365"/>
    <cellStyle name="20% - Accent6 29 2" xfId="9127"/>
    <cellStyle name="20% - Accent6 29 2 2" xfId="23602"/>
    <cellStyle name="20% - Accent6 29 3" xfId="19689"/>
    <cellStyle name="20% - Accent6 3" xfId="2366"/>
    <cellStyle name="20% - Accent6 3 10" xfId="2367"/>
    <cellStyle name="20% - Accent6 3 10 2" xfId="14049"/>
    <cellStyle name="20% - Accent6 3 10 2 2" xfId="27598"/>
    <cellStyle name="20% - Accent6 3 10 3" xfId="19691"/>
    <cellStyle name="20% - Accent6 3 11" xfId="2368"/>
    <cellStyle name="20% - Accent6 3 11 2" xfId="15001"/>
    <cellStyle name="20% - Accent6 3 11 2 2" xfId="28550"/>
    <cellStyle name="20% - Accent6 3 11 3" xfId="19692"/>
    <cellStyle name="20% - Accent6 3 12" xfId="2369"/>
    <cellStyle name="20% - Accent6 3 12 2" xfId="15935"/>
    <cellStyle name="20% - Accent6 3 12 2 2" xfId="29342"/>
    <cellStyle name="20% - Accent6 3 12 3" xfId="19693"/>
    <cellStyle name="20% - Accent6 3 13" xfId="9157"/>
    <cellStyle name="20% - Accent6 3 13 2" xfId="23632"/>
    <cellStyle name="20% - Accent6 3 14" xfId="19690"/>
    <cellStyle name="20% - Accent6 3 2" xfId="2370"/>
    <cellStyle name="20% - Accent6 3 2 10" xfId="2371"/>
    <cellStyle name="20% - Accent6 3 2 10 2" xfId="16078"/>
    <cellStyle name="20% - Accent6 3 2 10 2 2" xfId="29485"/>
    <cellStyle name="20% - Accent6 3 2 10 3" xfId="19695"/>
    <cellStyle name="20% - Accent6 3 2 11" xfId="9158"/>
    <cellStyle name="20% - Accent6 3 2 11 2" xfId="23633"/>
    <cellStyle name="20% - Accent6 3 2 12" xfId="19694"/>
    <cellStyle name="20% - Accent6 3 2 2" xfId="2372"/>
    <cellStyle name="20% - Accent6 3 2 2 10" xfId="9159"/>
    <cellStyle name="20% - Accent6 3 2 2 10 2" xfId="23634"/>
    <cellStyle name="20% - Accent6 3 2 2 11" xfId="19696"/>
    <cellStyle name="20% - Accent6 3 2 2 2" xfId="2373"/>
    <cellStyle name="20% - Accent6 3 2 2 2 2" xfId="2374"/>
    <cellStyle name="20% - Accent6 3 2 2 2 2 2" xfId="10886"/>
    <cellStyle name="20% - Accent6 3 2 2 2 2 2 2" xfId="24828"/>
    <cellStyle name="20% - Accent6 3 2 2 2 2 3" xfId="19698"/>
    <cellStyle name="20% - Accent6 3 2 2 2 3" xfId="2375"/>
    <cellStyle name="20% - Accent6 3 2 2 2 3 2" xfId="12508"/>
    <cellStyle name="20% - Accent6 3 2 2 2 3 2 2" xfId="26220"/>
    <cellStyle name="20% - Accent6 3 2 2 2 3 3" xfId="19699"/>
    <cellStyle name="20% - Accent6 3 2 2 2 4" xfId="2376"/>
    <cellStyle name="20% - Accent6 3 2 2 2 4 2" xfId="15004"/>
    <cellStyle name="20% - Accent6 3 2 2 2 4 2 2" xfId="28553"/>
    <cellStyle name="20% - Accent6 3 2 2 2 4 3" xfId="19700"/>
    <cellStyle name="20% - Accent6 3 2 2 2 5" xfId="2377"/>
    <cellStyle name="20% - Accent6 3 2 2 2 5 2" xfId="16948"/>
    <cellStyle name="20% - Accent6 3 2 2 2 5 2 2" xfId="30355"/>
    <cellStyle name="20% - Accent6 3 2 2 2 5 3" xfId="19701"/>
    <cellStyle name="20% - Accent6 3 2 2 2 6" xfId="9160"/>
    <cellStyle name="20% - Accent6 3 2 2 2 6 2" xfId="23635"/>
    <cellStyle name="20% - Accent6 3 2 2 2 7" xfId="19697"/>
    <cellStyle name="20% - Accent6 3 2 2 3" xfId="2378"/>
    <cellStyle name="20% - Accent6 3 2 2 3 2" xfId="2379"/>
    <cellStyle name="20% - Accent6 3 2 2 3 2 2" xfId="15005"/>
    <cellStyle name="20% - Accent6 3 2 2 3 2 2 2" xfId="28554"/>
    <cellStyle name="20% - Accent6 3 2 2 3 2 3" xfId="19703"/>
    <cellStyle name="20% - Accent6 3 2 2 3 3" xfId="10885"/>
    <cellStyle name="20% - Accent6 3 2 2 3 3 2" xfId="24827"/>
    <cellStyle name="20% - Accent6 3 2 2 3 4" xfId="19702"/>
    <cellStyle name="20% - Accent6 3 2 2 4" xfId="2380"/>
    <cellStyle name="20% - Accent6 3 2 2 4 2" xfId="12336"/>
    <cellStyle name="20% - Accent6 3 2 2 4 2 2" xfId="26048"/>
    <cellStyle name="20% - Accent6 3 2 2 4 3" xfId="19704"/>
    <cellStyle name="20% - Accent6 3 2 2 5" xfId="2381"/>
    <cellStyle name="20% - Accent6 3 2 2 5 2" xfId="11847"/>
    <cellStyle name="20% - Accent6 3 2 2 5 2 2" xfId="25562"/>
    <cellStyle name="20% - Accent6 3 2 2 5 3" xfId="19705"/>
    <cellStyle name="20% - Accent6 3 2 2 6" xfId="2382"/>
    <cellStyle name="20% - Accent6 3 2 2 6 2" xfId="13900"/>
    <cellStyle name="20% - Accent6 3 2 2 6 2 2" xfId="27449"/>
    <cellStyle name="20% - Accent6 3 2 2 6 3" xfId="19706"/>
    <cellStyle name="20% - Accent6 3 2 2 7" xfId="2383"/>
    <cellStyle name="20% - Accent6 3 2 2 7 2" xfId="14481"/>
    <cellStyle name="20% - Accent6 3 2 2 7 2 2" xfId="28030"/>
    <cellStyle name="20% - Accent6 3 2 2 7 3" xfId="19707"/>
    <cellStyle name="20% - Accent6 3 2 2 8" xfId="2384"/>
    <cellStyle name="20% - Accent6 3 2 2 8 2" xfId="15003"/>
    <cellStyle name="20% - Accent6 3 2 2 8 2 2" xfId="28552"/>
    <cellStyle name="20% - Accent6 3 2 2 8 3" xfId="19708"/>
    <cellStyle name="20% - Accent6 3 2 2 9" xfId="2385"/>
    <cellStyle name="20% - Accent6 3 2 2 9 2" xfId="16367"/>
    <cellStyle name="20% - Accent6 3 2 2 9 2 2" xfId="29774"/>
    <cellStyle name="20% - Accent6 3 2 2 9 3" xfId="19709"/>
    <cellStyle name="20% - Accent6 3 2 3" xfId="2386"/>
    <cellStyle name="20% - Accent6 3 2 3 2" xfId="2387"/>
    <cellStyle name="20% - Accent6 3 2 3 2 2" xfId="10887"/>
    <cellStyle name="20% - Accent6 3 2 3 2 2 2" xfId="24829"/>
    <cellStyle name="20% - Accent6 3 2 3 2 3" xfId="19711"/>
    <cellStyle name="20% - Accent6 3 2 3 3" xfId="2388"/>
    <cellStyle name="20% - Accent6 3 2 3 3 2" xfId="11785"/>
    <cellStyle name="20% - Accent6 3 2 3 3 2 2" xfId="25500"/>
    <cellStyle name="20% - Accent6 3 2 3 3 3" xfId="19712"/>
    <cellStyle name="20% - Accent6 3 2 3 4" xfId="2389"/>
    <cellStyle name="20% - Accent6 3 2 3 4 2" xfId="15006"/>
    <cellStyle name="20% - Accent6 3 2 3 4 2 2" xfId="28555"/>
    <cellStyle name="20% - Accent6 3 2 3 4 3" xfId="19713"/>
    <cellStyle name="20% - Accent6 3 2 3 5" xfId="2390"/>
    <cellStyle name="20% - Accent6 3 2 3 5 2" xfId="16659"/>
    <cellStyle name="20% - Accent6 3 2 3 5 2 2" xfId="30066"/>
    <cellStyle name="20% - Accent6 3 2 3 5 3" xfId="19714"/>
    <cellStyle name="20% - Accent6 3 2 3 6" xfId="9161"/>
    <cellStyle name="20% - Accent6 3 2 3 6 2" xfId="23636"/>
    <cellStyle name="20% - Accent6 3 2 3 7" xfId="19710"/>
    <cellStyle name="20% - Accent6 3 2 4" xfId="2391"/>
    <cellStyle name="20% - Accent6 3 2 4 2" xfId="2392"/>
    <cellStyle name="20% - Accent6 3 2 4 2 2" xfId="15007"/>
    <cellStyle name="20% - Accent6 3 2 4 2 2 2" xfId="28556"/>
    <cellStyle name="20% - Accent6 3 2 4 2 3" xfId="19716"/>
    <cellStyle name="20% - Accent6 3 2 4 3" xfId="10884"/>
    <cellStyle name="20% - Accent6 3 2 4 3 2" xfId="24826"/>
    <cellStyle name="20% - Accent6 3 2 4 4" xfId="19715"/>
    <cellStyle name="20% - Accent6 3 2 5" xfId="2393"/>
    <cellStyle name="20% - Accent6 3 2 5 2" xfId="12036"/>
    <cellStyle name="20% - Accent6 3 2 5 2 2" xfId="25751"/>
    <cellStyle name="20% - Accent6 3 2 5 3" xfId="19717"/>
    <cellStyle name="20% - Accent6 3 2 6" xfId="2394"/>
    <cellStyle name="20% - Accent6 3 2 6 2" xfId="11780"/>
    <cellStyle name="20% - Accent6 3 2 6 2 2" xfId="25495"/>
    <cellStyle name="20% - Accent6 3 2 6 3" xfId="19718"/>
    <cellStyle name="20% - Accent6 3 2 7" xfId="2395"/>
    <cellStyle name="20% - Accent6 3 2 7 2" xfId="13611"/>
    <cellStyle name="20% - Accent6 3 2 7 2 2" xfId="27160"/>
    <cellStyle name="20% - Accent6 3 2 7 3" xfId="19719"/>
    <cellStyle name="20% - Accent6 3 2 8" xfId="2396"/>
    <cellStyle name="20% - Accent6 3 2 8 2" xfId="14192"/>
    <cellStyle name="20% - Accent6 3 2 8 2 2" xfId="27741"/>
    <cellStyle name="20% - Accent6 3 2 8 3" xfId="19720"/>
    <cellStyle name="20% - Accent6 3 2 9" xfId="2397"/>
    <cellStyle name="20% - Accent6 3 2 9 2" xfId="15002"/>
    <cellStyle name="20% - Accent6 3 2 9 2 2" xfId="28551"/>
    <cellStyle name="20% - Accent6 3 2 9 3" xfId="19721"/>
    <cellStyle name="20% - Accent6 3 3" xfId="2398"/>
    <cellStyle name="20% - Accent6 3 3 10" xfId="9162"/>
    <cellStyle name="20% - Accent6 3 3 10 2" xfId="23637"/>
    <cellStyle name="20% - Accent6 3 3 11" xfId="19722"/>
    <cellStyle name="20% - Accent6 3 3 2" xfId="2399"/>
    <cellStyle name="20% - Accent6 3 3 2 2" xfId="2400"/>
    <cellStyle name="20% - Accent6 3 3 2 2 2" xfId="10889"/>
    <cellStyle name="20% - Accent6 3 3 2 2 2 2" xfId="24831"/>
    <cellStyle name="20% - Accent6 3 3 2 2 3" xfId="19724"/>
    <cellStyle name="20% - Accent6 3 3 2 3" xfId="2401"/>
    <cellStyle name="20% - Accent6 3 3 2 3 2" xfId="12467"/>
    <cellStyle name="20% - Accent6 3 3 2 3 2 2" xfId="26179"/>
    <cellStyle name="20% - Accent6 3 3 2 3 3" xfId="19725"/>
    <cellStyle name="20% - Accent6 3 3 2 4" xfId="2402"/>
    <cellStyle name="20% - Accent6 3 3 2 4 2" xfId="15009"/>
    <cellStyle name="20% - Accent6 3 3 2 4 2 2" xfId="28558"/>
    <cellStyle name="20% - Accent6 3 3 2 4 3" xfId="19726"/>
    <cellStyle name="20% - Accent6 3 3 2 5" xfId="2403"/>
    <cellStyle name="20% - Accent6 3 3 2 5 2" xfId="16805"/>
    <cellStyle name="20% - Accent6 3 3 2 5 2 2" xfId="30212"/>
    <cellStyle name="20% - Accent6 3 3 2 5 3" xfId="19727"/>
    <cellStyle name="20% - Accent6 3 3 2 6" xfId="9163"/>
    <cellStyle name="20% - Accent6 3 3 2 6 2" xfId="23638"/>
    <cellStyle name="20% - Accent6 3 3 2 7" xfId="19723"/>
    <cellStyle name="20% - Accent6 3 3 3" xfId="2404"/>
    <cellStyle name="20% - Accent6 3 3 3 2" xfId="2405"/>
    <cellStyle name="20% - Accent6 3 3 3 2 2" xfId="15010"/>
    <cellStyle name="20% - Accent6 3 3 3 2 2 2" xfId="28559"/>
    <cellStyle name="20% - Accent6 3 3 3 2 3" xfId="19729"/>
    <cellStyle name="20% - Accent6 3 3 3 3" xfId="10888"/>
    <cellStyle name="20% - Accent6 3 3 3 3 2" xfId="24830"/>
    <cellStyle name="20% - Accent6 3 3 3 4" xfId="19728"/>
    <cellStyle name="20% - Accent6 3 3 4" xfId="2406"/>
    <cellStyle name="20% - Accent6 3 3 4 2" xfId="12193"/>
    <cellStyle name="20% - Accent6 3 3 4 2 2" xfId="25905"/>
    <cellStyle name="20% - Accent6 3 3 4 3" xfId="19730"/>
    <cellStyle name="20% - Accent6 3 3 5" xfId="2407"/>
    <cellStyle name="20% - Accent6 3 3 5 2" xfId="12722"/>
    <cellStyle name="20% - Accent6 3 3 5 2 2" xfId="26434"/>
    <cellStyle name="20% - Accent6 3 3 5 3" xfId="19731"/>
    <cellStyle name="20% - Accent6 3 3 6" xfId="2408"/>
    <cellStyle name="20% - Accent6 3 3 6 2" xfId="13757"/>
    <cellStyle name="20% - Accent6 3 3 6 2 2" xfId="27306"/>
    <cellStyle name="20% - Accent6 3 3 6 3" xfId="19732"/>
    <cellStyle name="20% - Accent6 3 3 7" xfId="2409"/>
    <cellStyle name="20% - Accent6 3 3 7 2" xfId="14338"/>
    <cellStyle name="20% - Accent6 3 3 7 2 2" xfId="27887"/>
    <cellStyle name="20% - Accent6 3 3 7 3" xfId="19733"/>
    <cellStyle name="20% - Accent6 3 3 8" xfId="2410"/>
    <cellStyle name="20% - Accent6 3 3 8 2" xfId="15008"/>
    <cellStyle name="20% - Accent6 3 3 8 2 2" xfId="28557"/>
    <cellStyle name="20% - Accent6 3 3 8 3" xfId="19734"/>
    <cellStyle name="20% - Accent6 3 3 9" xfId="2411"/>
    <cellStyle name="20% - Accent6 3 3 9 2" xfId="16224"/>
    <cellStyle name="20% - Accent6 3 3 9 2 2" xfId="29631"/>
    <cellStyle name="20% - Accent6 3 3 9 3" xfId="19735"/>
    <cellStyle name="20% - Accent6 3 4" xfId="2412"/>
    <cellStyle name="20% - Accent6 3 4 2" xfId="2413"/>
    <cellStyle name="20% - Accent6 3 4 2 2" xfId="10890"/>
    <cellStyle name="20% - Accent6 3 4 2 2 2" xfId="24832"/>
    <cellStyle name="20% - Accent6 3 4 2 3" xfId="19737"/>
    <cellStyle name="20% - Accent6 3 4 3" xfId="2414"/>
    <cellStyle name="20% - Accent6 3 4 3 2" xfId="11837"/>
    <cellStyle name="20% - Accent6 3 4 3 2 2" xfId="25552"/>
    <cellStyle name="20% - Accent6 3 4 3 3" xfId="19738"/>
    <cellStyle name="20% - Accent6 3 4 4" xfId="2415"/>
    <cellStyle name="20% - Accent6 3 4 4 2" xfId="15011"/>
    <cellStyle name="20% - Accent6 3 4 4 2 2" xfId="28560"/>
    <cellStyle name="20% - Accent6 3 4 4 3" xfId="19739"/>
    <cellStyle name="20% - Accent6 3 4 5" xfId="2416"/>
    <cellStyle name="20% - Accent6 3 4 5 2" xfId="17152"/>
    <cellStyle name="20% - Accent6 3 4 5 2 2" xfId="30511"/>
    <cellStyle name="20% - Accent6 3 4 5 3" xfId="19740"/>
    <cellStyle name="20% - Accent6 3 4 6" xfId="9164"/>
    <cellStyle name="20% - Accent6 3 4 6 2" xfId="23639"/>
    <cellStyle name="20% - Accent6 3 4 7" xfId="19736"/>
    <cellStyle name="20% - Accent6 3 5" xfId="2417"/>
    <cellStyle name="20% - Accent6 3 5 2" xfId="2418"/>
    <cellStyle name="20% - Accent6 3 5 2 2" xfId="10891"/>
    <cellStyle name="20% - Accent6 3 5 2 2 2" xfId="24833"/>
    <cellStyle name="20% - Accent6 3 5 2 3" xfId="19742"/>
    <cellStyle name="20% - Accent6 3 5 3" xfId="2419"/>
    <cellStyle name="20% - Accent6 3 5 3 2" xfId="12504"/>
    <cellStyle name="20% - Accent6 3 5 3 2 2" xfId="26216"/>
    <cellStyle name="20% - Accent6 3 5 3 3" xfId="19743"/>
    <cellStyle name="20% - Accent6 3 5 4" xfId="2420"/>
    <cellStyle name="20% - Accent6 3 5 4 2" xfId="15012"/>
    <cellStyle name="20% - Accent6 3 5 4 2 2" xfId="28561"/>
    <cellStyle name="20% - Accent6 3 5 4 3" xfId="19744"/>
    <cellStyle name="20% - Accent6 3 5 5" xfId="2421"/>
    <cellStyle name="20% - Accent6 3 5 5 2" xfId="17241"/>
    <cellStyle name="20% - Accent6 3 5 5 2 2" xfId="30600"/>
    <cellStyle name="20% - Accent6 3 5 5 3" xfId="19745"/>
    <cellStyle name="20% - Accent6 3 5 6" xfId="9165"/>
    <cellStyle name="20% - Accent6 3 5 6 2" xfId="23640"/>
    <cellStyle name="20% - Accent6 3 5 7" xfId="19741"/>
    <cellStyle name="20% - Accent6 3 6" xfId="2422"/>
    <cellStyle name="20% - Accent6 3 6 2" xfId="2423"/>
    <cellStyle name="20% - Accent6 3 6 2 2" xfId="15013"/>
    <cellStyle name="20% - Accent6 3 6 2 2 2" xfId="28562"/>
    <cellStyle name="20% - Accent6 3 6 2 3" xfId="19747"/>
    <cellStyle name="20% - Accent6 3 6 3" xfId="2424"/>
    <cellStyle name="20% - Accent6 3 6 3 2" xfId="16516"/>
    <cellStyle name="20% - Accent6 3 6 3 2 2" xfId="29923"/>
    <cellStyle name="20% - Accent6 3 6 3 3" xfId="19748"/>
    <cellStyle name="20% - Accent6 3 6 4" xfId="10883"/>
    <cellStyle name="20% - Accent6 3 6 4 2" xfId="24825"/>
    <cellStyle name="20% - Accent6 3 6 5" xfId="19746"/>
    <cellStyle name="20% - Accent6 3 7" xfId="2425"/>
    <cellStyle name="20% - Accent6 3 7 2" xfId="11888"/>
    <cellStyle name="20% - Accent6 3 7 2 2" xfId="25603"/>
    <cellStyle name="20% - Accent6 3 7 3" xfId="19749"/>
    <cellStyle name="20% - Accent6 3 8" xfId="2426"/>
    <cellStyle name="20% - Accent6 3 8 2" xfId="12783"/>
    <cellStyle name="20% - Accent6 3 8 2 2" xfId="26495"/>
    <cellStyle name="20% - Accent6 3 8 3" xfId="19750"/>
    <cellStyle name="20% - Accent6 3 9" xfId="2427"/>
    <cellStyle name="20% - Accent6 3 9 2" xfId="13468"/>
    <cellStyle name="20% - Accent6 3 9 2 2" xfId="27017"/>
    <cellStyle name="20% - Accent6 3 9 3" xfId="19751"/>
    <cellStyle name="20% - Accent6 30" xfId="23263"/>
    <cellStyle name="20% - Accent6 4" xfId="2428"/>
    <cellStyle name="20% - Accent6 4 10" xfId="2429"/>
    <cellStyle name="20% - Accent6 4 10 2" xfId="15014"/>
    <cellStyle name="20% - Accent6 4 10 2 2" xfId="28563"/>
    <cellStyle name="20% - Accent6 4 10 3" xfId="19753"/>
    <cellStyle name="20% - Accent6 4 11" xfId="2430"/>
    <cellStyle name="20% - Accent6 4 11 2" xfId="15884"/>
    <cellStyle name="20% - Accent6 4 11 2 2" xfId="29291"/>
    <cellStyle name="20% - Accent6 4 11 3" xfId="19754"/>
    <cellStyle name="20% - Accent6 4 12" xfId="9166"/>
    <cellStyle name="20% - Accent6 4 12 2" xfId="23641"/>
    <cellStyle name="20% - Accent6 4 13" xfId="19752"/>
    <cellStyle name="20% - Accent6 4 2" xfId="2431"/>
    <cellStyle name="20% - Accent6 4 2 10" xfId="2432"/>
    <cellStyle name="20% - Accent6 4 2 10 2" xfId="16027"/>
    <cellStyle name="20% - Accent6 4 2 10 2 2" xfId="29434"/>
    <cellStyle name="20% - Accent6 4 2 10 3" xfId="19756"/>
    <cellStyle name="20% - Accent6 4 2 11" xfId="9167"/>
    <cellStyle name="20% - Accent6 4 2 11 2" xfId="23642"/>
    <cellStyle name="20% - Accent6 4 2 12" xfId="19755"/>
    <cellStyle name="20% - Accent6 4 2 2" xfId="2433"/>
    <cellStyle name="20% - Accent6 4 2 2 10" xfId="9168"/>
    <cellStyle name="20% - Accent6 4 2 2 10 2" xfId="23643"/>
    <cellStyle name="20% - Accent6 4 2 2 11" xfId="19757"/>
    <cellStyle name="20% - Accent6 4 2 2 2" xfId="2434"/>
    <cellStyle name="20% - Accent6 4 2 2 2 2" xfId="2435"/>
    <cellStyle name="20% - Accent6 4 2 2 2 2 2" xfId="10895"/>
    <cellStyle name="20% - Accent6 4 2 2 2 2 2 2" xfId="24837"/>
    <cellStyle name="20% - Accent6 4 2 2 2 2 3" xfId="19759"/>
    <cellStyle name="20% - Accent6 4 2 2 2 3" xfId="2436"/>
    <cellStyle name="20% - Accent6 4 2 2 2 3 2" xfId="12497"/>
    <cellStyle name="20% - Accent6 4 2 2 2 3 2 2" xfId="26209"/>
    <cellStyle name="20% - Accent6 4 2 2 2 3 3" xfId="19760"/>
    <cellStyle name="20% - Accent6 4 2 2 2 4" xfId="2437"/>
    <cellStyle name="20% - Accent6 4 2 2 2 4 2" xfId="15017"/>
    <cellStyle name="20% - Accent6 4 2 2 2 4 2 2" xfId="28566"/>
    <cellStyle name="20% - Accent6 4 2 2 2 4 3" xfId="19761"/>
    <cellStyle name="20% - Accent6 4 2 2 2 5" xfId="2438"/>
    <cellStyle name="20% - Accent6 4 2 2 2 5 2" xfId="16897"/>
    <cellStyle name="20% - Accent6 4 2 2 2 5 2 2" xfId="30304"/>
    <cellStyle name="20% - Accent6 4 2 2 2 5 3" xfId="19762"/>
    <cellStyle name="20% - Accent6 4 2 2 2 6" xfId="9169"/>
    <cellStyle name="20% - Accent6 4 2 2 2 6 2" xfId="23644"/>
    <cellStyle name="20% - Accent6 4 2 2 2 7" xfId="19758"/>
    <cellStyle name="20% - Accent6 4 2 2 3" xfId="2439"/>
    <cellStyle name="20% - Accent6 4 2 2 3 2" xfId="2440"/>
    <cellStyle name="20% - Accent6 4 2 2 3 2 2" xfId="15018"/>
    <cellStyle name="20% - Accent6 4 2 2 3 2 2 2" xfId="28567"/>
    <cellStyle name="20% - Accent6 4 2 2 3 2 3" xfId="19764"/>
    <cellStyle name="20% - Accent6 4 2 2 3 3" xfId="10894"/>
    <cellStyle name="20% - Accent6 4 2 2 3 3 2" xfId="24836"/>
    <cellStyle name="20% - Accent6 4 2 2 3 4" xfId="19763"/>
    <cellStyle name="20% - Accent6 4 2 2 4" xfId="2441"/>
    <cellStyle name="20% - Accent6 4 2 2 4 2" xfId="12285"/>
    <cellStyle name="20% - Accent6 4 2 2 4 2 2" xfId="25997"/>
    <cellStyle name="20% - Accent6 4 2 2 4 3" xfId="19765"/>
    <cellStyle name="20% - Accent6 4 2 2 5" xfId="2442"/>
    <cellStyle name="20% - Accent6 4 2 2 5 2" xfId="12474"/>
    <cellStyle name="20% - Accent6 4 2 2 5 2 2" xfId="26186"/>
    <cellStyle name="20% - Accent6 4 2 2 5 3" xfId="19766"/>
    <cellStyle name="20% - Accent6 4 2 2 6" xfId="2443"/>
    <cellStyle name="20% - Accent6 4 2 2 6 2" xfId="13849"/>
    <cellStyle name="20% - Accent6 4 2 2 6 2 2" xfId="27398"/>
    <cellStyle name="20% - Accent6 4 2 2 6 3" xfId="19767"/>
    <cellStyle name="20% - Accent6 4 2 2 7" xfId="2444"/>
    <cellStyle name="20% - Accent6 4 2 2 7 2" xfId="14430"/>
    <cellStyle name="20% - Accent6 4 2 2 7 2 2" xfId="27979"/>
    <cellStyle name="20% - Accent6 4 2 2 7 3" xfId="19768"/>
    <cellStyle name="20% - Accent6 4 2 2 8" xfId="2445"/>
    <cellStyle name="20% - Accent6 4 2 2 8 2" xfId="15016"/>
    <cellStyle name="20% - Accent6 4 2 2 8 2 2" xfId="28565"/>
    <cellStyle name="20% - Accent6 4 2 2 8 3" xfId="19769"/>
    <cellStyle name="20% - Accent6 4 2 2 9" xfId="2446"/>
    <cellStyle name="20% - Accent6 4 2 2 9 2" xfId="16316"/>
    <cellStyle name="20% - Accent6 4 2 2 9 2 2" xfId="29723"/>
    <cellStyle name="20% - Accent6 4 2 2 9 3" xfId="19770"/>
    <cellStyle name="20% - Accent6 4 2 3" xfId="2447"/>
    <cellStyle name="20% - Accent6 4 2 3 2" xfId="2448"/>
    <cellStyle name="20% - Accent6 4 2 3 2 2" xfId="10896"/>
    <cellStyle name="20% - Accent6 4 2 3 2 2 2" xfId="24838"/>
    <cellStyle name="20% - Accent6 4 2 3 2 3" xfId="19772"/>
    <cellStyle name="20% - Accent6 4 2 3 3" xfId="2449"/>
    <cellStyle name="20% - Accent6 4 2 3 3 2" xfId="12769"/>
    <cellStyle name="20% - Accent6 4 2 3 3 2 2" xfId="26481"/>
    <cellStyle name="20% - Accent6 4 2 3 3 3" xfId="19773"/>
    <cellStyle name="20% - Accent6 4 2 3 4" xfId="2450"/>
    <cellStyle name="20% - Accent6 4 2 3 4 2" xfId="15019"/>
    <cellStyle name="20% - Accent6 4 2 3 4 2 2" xfId="28568"/>
    <cellStyle name="20% - Accent6 4 2 3 4 3" xfId="19774"/>
    <cellStyle name="20% - Accent6 4 2 3 5" xfId="2451"/>
    <cellStyle name="20% - Accent6 4 2 3 5 2" xfId="16608"/>
    <cellStyle name="20% - Accent6 4 2 3 5 2 2" xfId="30015"/>
    <cellStyle name="20% - Accent6 4 2 3 5 3" xfId="19775"/>
    <cellStyle name="20% - Accent6 4 2 3 6" xfId="9170"/>
    <cellStyle name="20% - Accent6 4 2 3 6 2" xfId="23645"/>
    <cellStyle name="20% - Accent6 4 2 3 7" xfId="19771"/>
    <cellStyle name="20% - Accent6 4 2 4" xfId="2452"/>
    <cellStyle name="20% - Accent6 4 2 4 2" xfId="2453"/>
    <cellStyle name="20% - Accent6 4 2 4 2 2" xfId="15020"/>
    <cellStyle name="20% - Accent6 4 2 4 2 2 2" xfId="28569"/>
    <cellStyle name="20% - Accent6 4 2 4 2 3" xfId="19777"/>
    <cellStyle name="20% - Accent6 4 2 4 3" xfId="10893"/>
    <cellStyle name="20% - Accent6 4 2 4 3 2" xfId="24835"/>
    <cellStyle name="20% - Accent6 4 2 4 4" xfId="19776"/>
    <cellStyle name="20% - Accent6 4 2 5" xfId="2454"/>
    <cellStyle name="20% - Accent6 4 2 5 2" xfId="11985"/>
    <cellStyle name="20% - Accent6 4 2 5 2 2" xfId="25700"/>
    <cellStyle name="20% - Accent6 4 2 5 3" xfId="19778"/>
    <cellStyle name="20% - Accent6 4 2 6" xfId="2455"/>
    <cellStyle name="20% - Accent6 4 2 6 2" xfId="11872"/>
    <cellStyle name="20% - Accent6 4 2 6 2 2" xfId="25587"/>
    <cellStyle name="20% - Accent6 4 2 6 3" xfId="19779"/>
    <cellStyle name="20% - Accent6 4 2 7" xfId="2456"/>
    <cellStyle name="20% - Accent6 4 2 7 2" xfId="13560"/>
    <cellStyle name="20% - Accent6 4 2 7 2 2" xfId="27109"/>
    <cellStyle name="20% - Accent6 4 2 7 3" xfId="19780"/>
    <cellStyle name="20% - Accent6 4 2 8" xfId="2457"/>
    <cellStyle name="20% - Accent6 4 2 8 2" xfId="14141"/>
    <cellStyle name="20% - Accent6 4 2 8 2 2" xfId="27690"/>
    <cellStyle name="20% - Accent6 4 2 8 3" xfId="19781"/>
    <cellStyle name="20% - Accent6 4 2 9" xfId="2458"/>
    <cellStyle name="20% - Accent6 4 2 9 2" xfId="15015"/>
    <cellStyle name="20% - Accent6 4 2 9 2 2" xfId="28564"/>
    <cellStyle name="20% - Accent6 4 2 9 3" xfId="19782"/>
    <cellStyle name="20% - Accent6 4 3" xfId="2459"/>
    <cellStyle name="20% - Accent6 4 3 10" xfId="9171"/>
    <cellStyle name="20% - Accent6 4 3 10 2" xfId="23646"/>
    <cellStyle name="20% - Accent6 4 3 11" xfId="19783"/>
    <cellStyle name="20% - Accent6 4 3 2" xfId="2460"/>
    <cellStyle name="20% - Accent6 4 3 2 2" xfId="2461"/>
    <cellStyle name="20% - Accent6 4 3 2 2 2" xfId="10898"/>
    <cellStyle name="20% - Accent6 4 3 2 2 2 2" xfId="24840"/>
    <cellStyle name="20% - Accent6 4 3 2 2 3" xfId="19785"/>
    <cellStyle name="20% - Accent6 4 3 2 3" xfId="2462"/>
    <cellStyle name="20% - Accent6 4 3 2 3 2" xfId="12653"/>
    <cellStyle name="20% - Accent6 4 3 2 3 2 2" xfId="26365"/>
    <cellStyle name="20% - Accent6 4 3 2 3 3" xfId="19786"/>
    <cellStyle name="20% - Accent6 4 3 2 4" xfId="2463"/>
    <cellStyle name="20% - Accent6 4 3 2 4 2" xfId="15022"/>
    <cellStyle name="20% - Accent6 4 3 2 4 2 2" xfId="28571"/>
    <cellStyle name="20% - Accent6 4 3 2 4 3" xfId="19787"/>
    <cellStyle name="20% - Accent6 4 3 2 5" xfId="2464"/>
    <cellStyle name="20% - Accent6 4 3 2 5 2" xfId="16757"/>
    <cellStyle name="20% - Accent6 4 3 2 5 2 2" xfId="30164"/>
    <cellStyle name="20% - Accent6 4 3 2 5 3" xfId="19788"/>
    <cellStyle name="20% - Accent6 4 3 2 6" xfId="9172"/>
    <cellStyle name="20% - Accent6 4 3 2 6 2" xfId="23647"/>
    <cellStyle name="20% - Accent6 4 3 2 7" xfId="19784"/>
    <cellStyle name="20% - Accent6 4 3 3" xfId="2465"/>
    <cellStyle name="20% - Accent6 4 3 3 2" xfId="2466"/>
    <cellStyle name="20% - Accent6 4 3 3 2 2" xfId="15023"/>
    <cellStyle name="20% - Accent6 4 3 3 2 2 2" xfId="28572"/>
    <cellStyle name="20% - Accent6 4 3 3 2 3" xfId="19790"/>
    <cellStyle name="20% - Accent6 4 3 3 3" xfId="10897"/>
    <cellStyle name="20% - Accent6 4 3 3 3 2" xfId="24839"/>
    <cellStyle name="20% - Accent6 4 3 3 4" xfId="19789"/>
    <cellStyle name="20% - Accent6 4 3 4" xfId="2467"/>
    <cellStyle name="20% - Accent6 4 3 4 2" xfId="12145"/>
    <cellStyle name="20% - Accent6 4 3 4 2 2" xfId="25857"/>
    <cellStyle name="20% - Accent6 4 3 4 3" xfId="19791"/>
    <cellStyle name="20% - Accent6 4 3 5" xfId="2468"/>
    <cellStyle name="20% - Accent6 4 3 5 2" xfId="11773"/>
    <cellStyle name="20% - Accent6 4 3 5 2 2" xfId="25488"/>
    <cellStyle name="20% - Accent6 4 3 5 3" xfId="19792"/>
    <cellStyle name="20% - Accent6 4 3 6" xfId="2469"/>
    <cellStyle name="20% - Accent6 4 3 6 2" xfId="13709"/>
    <cellStyle name="20% - Accent6 4 3 6 2 2" xfId="27258"/>
    <cellStyle name="20% - Accent6 4 3 6 3" xfId="19793"/>
    <cellStyle name="20% - Accent6 4 3 7" xfId="2470"/>
    <cellStyle name="20% - Accent6 4 3 7 2" xfId="14290"/>
    <cellStyle name="20% - Accent6 4 3 7 2 2" xfId="27839"/>
    <cellStyle name="20% - Accent6 4 3 7 3" xfId="19794"/>
    <cellStyle name="20% - Accent6 4 3 8" xfId="2471"/>
    <cellStyle name="20% - Accent6 4 3 8 2" xfId="15021"/>
    <cellStyle name="20% - Accent6 4 3 8 2 2" xfId="28570"/>
    <cellStyle name="20% - Accent6 4 3 8 3" xfId="19795"/>
    <cellStyle name="20% - Accent6 4 3 9" xfId="2472"/>
    <cellStyle name="20% - Accent6 4 3 9 2" xfId="16176"/>
    <cellStyle name="20% - Accent6 4 3 9 2 2" xfId="29583"/>
    <cellStyle name="20% - Accent6 4 3 9 3" xfId="19796"/>
    <cellStyle name="20% - Accent6 4 4" xfId="2473"/>
    <cellStyle name="20% - Accent6 4 4 2" xfId="2474"/>
    <cellStyle name="20% - Accent6 4 4 2 2" xfId="10899"/>
    <cellStyle name="20% - Accent6 4 4 2 2 2" xfId="24841"/>
    <cellStyle name="20% - Accent6 4 4 2 3" xfId="19798"/>
    <cellStyle name="20% - Accent6 4 4 3" xfId="2475"/>
    <cellStyle name="20% - Accent6 4 4 3 2" xfId="12654"/>
    <cellStyle name="20% - Accent6 4 4 3 2 2" xfId="26366"/>
    <cellStyle name="20% - Accent6 4 4 3 3" xfId="19799"/>
    <cellStyle name="20% - Accent6 4 4 4" xfId="2476"/>
    <cellStyle name="20% - Accent6 4 4 4 2" xfId="15024"/>
    <cellStyle name="20% - Accent6 4 4 4 2 2" xfId="28573"/>
    <cellStyle name="20% - Accent6 4 4 4 3" xfId="19800"/>
    <cellStyle name="20% - Accent6 4 4 5" xfId="2477"/>
    <cellStyle name="20% - Accent6 4 4 5 2" xfId="16465"/>
    <cellStyle name="20% - Accent6 4 4 5 2 2" xfId="29872"/>
    <cellStyle name="20% - Accent6 4 4 5 3" xfId="19801"/>
    <cellStyle name="20% - Accent6 4 4 6" xfId="9173"/>
    <cellStyle name="20% - Accent6 4 4 6 2" xfId="23648"/>
    <cellStyle name="20% - Accent6 4 4 7" xfId="19797"/>
    <cellStyle name="20% - Accent6 4 5" xfId="2478"/>
    <cellStyle name="20% - Accent6 4 5 2" xfId="2479"/>
    <cellStyle name="20% - Accent6 4 5 2 2" xfId="15025"/>
    <cellStyle name="20% - Accent6 4 5 2 2 2" xfId="28574"/>
    <cellStyle name="20% - Accent6 4 5 2 3" xfId="19803"/>
    <cellStyle name="20% - Accent6 4 5 3" xfId="10892"/>
    <cellStyle name="20% - Accent6 4 5 3 2" xfId="24834"/>
    <cellStyle name="20% - Accent6 4 5 4" xfId="19802"/>
    <cellStyle name="20% - Accent6 4 6" xfId="2480"/>
    <cellStyle name="20% - Accent6 4 6 2" xfId="11816"/>
    <cellStyle name="20% - Accent6 4 6 2 2" xfId="25531"/>
    <cellStyle name="20% - Accent6 4 6 3" xfId="19804"/>
    <cellStyle name="20% - Accent6 4 7" xfId="2481"/>
    <cellStyle name="20% - Accent6 4 7 2" xfId="12685"/>
    <cellStyle name="20% - Accent6 4 7 2 2" xfId="26397"/>
    <cellStyle name="20% - Accent6 4 7 3" xfId="19805"/>
    <cellStyle name="20% - Accent6 4 8" xfId="2482"/>
    <cellStyle name="20% - Accent6 4 8 2" xfId="13417"/>
    <cellStyle name="20% - Accent6 4 8 2 2" xfId="26966"/>
    <cellStyle name="20% - Accent6 4 8 3" xfId="19806"/>
    <cellStyle name="20% - Accent6 4 9" xfId="2483"/>
    <cellStyle name="20% - Accent6 4 9 2" xfId="13998"/>
    <cellStyle name="20% - Accent6 4 9 2 2" xfId="27547"/>
    <cellStyle name="20% - Accent6 4 9 3" xfId="19807"/>
    <cellStyle name="20% - Accent6 5" xfId="2484"/>
    <cellStyle name="20% - Accent6 5 10" xfId="2485"/>
    <cellStyle name="20% - Accent6 5 10 2" xfId="15026"/>
    <cellStyle name="20% - Accent6 5 10 2 2" xfId="28575"/>
    <cellStyle name="20% - Accent6 5 10 3" xfId="19809"/>
    <cellStyle name="20% - Accent6 5 11" xfId="2486"/>
    <cellStyle name="20% - Accent6 5 11 2" xfId="15867"/>
    <cellStyle name="20% - Accent6 5 11 2 2" xfId="29274"/>
    <cellStyle name="20% - Accent6 5 11 3" xfId="19810"/>
    <cellStyle name="20% - Accent6 5 12" xfId="9174"/>
    <cellStyle name="20% - Accent6 5 12 2" xfId="23649"/>
    <cellStyle name="20% - Accent6 5 13" xfId="19808"/>
    <cellStyle name="20% - Accent6 5 2" xfId="2487"/>
    <cellStyle name="20% - Accent6 5 2 10" xfId="2488"/>
    <cellStyle name="20% - Accent6 5 2 10 2" xfId="16010"/>
    <cellStyle name="20% - Accent6 5 2 10 2 2" xfId="29417"/>
    <cellStyle name="20% - Accent6 5 2 10 3" xfId="19812"/>
    <cellStyle name="20% - Accent6 5 2 11" xfId="9175"/>
    <cellStyle name="20% - Accent6 5 2 11 2" xfId="23650"/>
    <cellStyle name="20% - Accent6 5 2 12" xfId="19811"/>
    <cellStyle name="20% - Accent6 5 2 2" xfId="2489"/>
    <cellStyle name="20% - Accent6 5 2 2 10" xfId="9176"/>
    <cellStyle name="20% - Accent6 5 2 2 10 2" xfId="23651"/>
    <cellStyle name="20% - Accent6 5 2 2 11" xfId="19813"/>
    <cellStyle name="20% - Accent6 5 2 2 2" xfId="2490"/>
    <cellStyle name="20% - Accent6 5 2 2 2 2" xfId="2491"/>
    <cellStyle name="20% - Accent6 5 2 2 2 2 2" xfId="10903"/>
    <cellStyle name="20% - Accent6 5 2 2 2 2 2 2" xfId="24845"/>
    <cellStyle name="20% - Accent6 5 2 2 2 2 3" xfId="19815"/>
    <cellStyle name="20% - Accent6 5 2 2 2 3" xfId="2492"/>
    <cellStyle name="20% - Accent6 5 2 2 2 3 2" xfId="12794"/>
    <cellStyle name="20% - Accent6 5 2 2 2 3 2 2" xfId="26506"/>
    <cellStyle name="20% - Accent6 5 2 2 2 3 3" xfId="19816"/>
    <cellStyle name="20% - Accent6 5 2 2 2 4" xfId="2493"/>
    <cellStyle name="20% - Accent6 5 2 2 2 4 2" xfId="15029"/>
    <cellStyle name="20% - Accent6 5 2 2 2 4 2 2" xfId="28578"/>
    <cellStyle name="20% - Accent6 5 2 2 2 4 3" xfId="19817"/>
    <cellStyle name="20% - Accent6 5 2 2 2 5" xfId="2494"/>
    <cellStyle name="20% - Accent6 5 2 2 2 5 2" xfId="16880"/>
    <cellStyle name="20% - Accent6 5 2 2 2 5 2 2" xfId="30287"/>
    <cellStyle name="20% - Accent6 5 2 2 2 5 3" xfId="19818"/>
    <cellStyle name="20% - Accent6 5 2 2 2 6" xfId="9177"/>
    <cellStyle name="20% - Accent6 5 2 2 2 6 2" xfId="23652"/>
    <cellStyle name="20% - Accent6 5 2 2 2 7" xfId="19814"/>
    <cellStyle name="20% - Accent6 5 2 2 3" xfId="2495"/>
    <cellStyle name="20% - Accent6 5 2 2 3 2" xfId="2496"/>
    <cellStyle name="20% - Accent6 5 2 2 3 2 2" xfId="15030"/>
    <cellStyle name="20% - Accent6 5 2 2 3 2 2 2" xfId="28579"/>
    <cellStyle name="20% - Accent6 5 2 2 3 2 3" xfId="19820"/>
    <cellStyle name="20% - Accent6 5 2 2 3 3" xfId="10902"/>
    <cellStyle name="20% - Accent6 5 2 2 3 3 2" xfId="24844"/>
    <cellStyle name="20% - Accent6 5 2 2 3 4" xfId="19819"/>
    <cellStyle name="20% - Accent6 5 2 2 4" xfId="2497"/>
    <cellStyle name="20% - Accent6 5 2 2 4 2" xfId="12268"/>
    <cellStyle name="20% - Accent6 5 2 2 4 2 2" xfId="25980"/>
    <cellStyle name="20% - Accent6 5 2 2 4 3" xfId="19821"/>
    <cellStyle name="20% - Accent6 5 2 2 5" xfId="2498"/>
    <cellStyle name="20% - Accent6 5 2 2 5 2" xfId="12798"/>
    <cellStyle name="20% - Accent6 5 2 2 5 2 2" xfId="26510"/>
    <cellStyle name="20% - Accent6 5 2 2 5 3" xfId="19822"/>
    <cellStyle name="20% - Accent6 5 2 2 6" xfId="2499"/>
    <cellStyle name="20% - Accent6 5 2 2 6 2" xfId="13832"/>
    <cellStyle name="20% - Accent6 5 2 2 6 2 2" xfId="27381"/>
    <cellStyle name="20% - Accent6 5 2 2 6 3" xfId="19823"/>
    <cellStyle name="20% - Accent6 5 2 2 7" xfId="2500"/>
    <cellStyle name="20% - Accent6 5 2 2 7 2" xfId="14413"/>
    <cellStyle name="20% - Accent6 5 2 2 7 2 2" xfId="27962"/>
    <cellStyle name="20% - Accent6 5 2 2 7 3" xfId="19824"/>
    <cellStyle name="20% - Accent6 5 2 2 8" xfId="2501"/>
    <cellStyle name="20% - Accent6 5 2 2 8 2" xfId="15028"/>
    <cellStyle name="20% - Accent6 5 2 2 8 2 2" xfId="28577"/>
    <cellStyle name="20% - Accent6 5 2 2 8 3" xfId="19825"/>
    <cellStyle name="20% - Accent6 5 2 2 9" xfId="2502"/>
    <cellStyle name="20% - Accent6 5 2 2 9 2" xfId="16299"/>
    <cellStyle name="20% - Accent6 5 2 2 9 2 2" xfId="29706"/>
    <cellStyle name="20% - Accent6 5 2 2 9 3" xfId="19826"/>
    <cellStyle name="20% - Accent6 5 2 3" xfId="2503"/>
    <cellStyle name="20% - Accent6 5 2 3 2" xfId="2504"/>
    <cellStyle name="20% - Accent6 5 2 3 2 2" xfId="10904"/>
    <cellStyle name="20% - Accent6 5 2 3 2 2 2" xfId="24846"/>
    <cellStyle name="20% - Accent6 5 2 3 2 3" xfId="19828"/>
    <cellStyle name="20% - Accent6 5 2 3 3" xfId="2505"/>
    <cellStyle name="20% - Accent6 5 2 3 3 2" xfId="12735"/>
    <cellStyle name="20% - Accent6 5 2 3 3 2 2" xfId="26447"/>
    <cellStyle name="20% - Accent6 5 2 3 3 3" xfId="19829"/>
    <cellStyle name="20% - Accent6 5 2 3 4" xfId="2506"/>
    <cellStyle name="20% - Accent6 5 2 3 4 2" xfId="15031"/>
    <cellStyle name="20% - Accent6 5 2 3 4 2 2" xfId="28580"/>
    <cellStyle name="20% - Accent6 5 2 3 4 3" xfId="19830"/>
    <cellStyle name="20% - Accent6 5 2 3 5" xfId="2507"/>
    <cellStyle name="20% - Accent6 5 2 3 5 2" xfId="16591"/>
    <cellStyle name="20% - Accent6 5 2 3 5 2 2" xfId="29998"/>
    <cellStyle name="20% - Accent6 5 2 3 5 3" xfId="19831"/>
    <cellStyle name="20% - Accent6 5 2 3 6" xfId="9178"/>
    <cellStyle name="20% - Accent6 5 2 3 6 2" xfId="23653"/>
    <cellStyle name="20% - Accent6 5 2 3 7" xfId="19827"/>
    <cellStyle name="20% - Accent6 5 2 4" xfId="2508"/>
    <cellStyle name="20% - Accent6 5 2 4 2" xfId="2509"/>
    <cellStyle name="20% - Accent6 5 2 4 2 2" xfId="15032"/>
    <cellStyle name="20% - Accent6 5 2 4 2 2 2" xfId="28581"/>
    <cellStyle name="20% - Accent6 5 2 4 2 3" xfId="19833"/>
    <cellStyle name="20% - Accent6 5 2 4 3" xfId="10901"/>
    <cellStyle name="20% - Accent6 5 2 4 3 2" xfId="24843"/>
    <cellStyle name="20% - Accent6 5 2 4 4" xfId="19832"/>
    <cellStyle name="20% - Accent6 5 2 5" xfId="2510"/>
    <cellStyle name="20% - Accent6 5 2 5 2" xfId="11968"/>
    <cellStyle name="20% - Accent6 5 2 5 2 2" xfId="25683"/>
    <cellStyle name="20% - Accent6 5 2 5 3" xfId="19834"/>
    <cellStyle name="20% - Accent6 5 2 6" xfId="2511"/>
    <cellStyle name="20% - Accent6 5 2 6 2" xfId="11767"/>
    <cellStyle name="20% - Accent6 5 2 6 2 2" xfId="25482"/>
    <cellStyle name="20% - Accent6 5 2 6 3" xfId="19835"/>
    <cellStyle name="20% - Accent6 5 2 7" xfId="2512"/>
    <cellStyle name="20% - Accent6 5 2 7 2" xfId="13543"/>
    <cellStyle name="20% - Accent6 5 2 7 2 2" xfId="27092"/>
    <cellStyle name="20% - Accent6 5 2 7 3" xfId="19836"/>
    <cellStyle name="20% - Accent6 5 2 8" xfId="2513"/>
    <cellStyle name="20% - Accent6 5 2 8 2" xfId="14124"/>
    <cellStyle name="20% - Accent6 5 2 8 2 2" xfId="27673"/>
    <cellStyle name="20% - Accent6 5 2 8 3" xfId="19837"/>
    <cellStyle name="20% - Accent6 5 2 9" xfId="2514"/>
    <cellStyle name="20% - Accent6 5 2 9 2" xfId="15027"/>
    <cellStyle name="20% - Accent6 5 2 9 2 2" xfId="28576"/>
    <cellStyle name="20% - Accent6 5 2 9 3" xfId="19838"/>
    <cellStyle name="20% - Accent6 5 3" xfId="2515"/>
    <cellStyle name="20% - Accent6 5 3 10" xfId="9179"/>
    <cellStyle name="20% - Accent6 5 3 10 2" xfId="23654"/>
    <cellStyle name="20% - Accent6 5 3 11" xfId="19839"/>
    <cellStyle name="20% - Accent6 5 3 2" xfId="2516"/>
    <cellStyle name="20% - Accent6 5 3 2 2" xfId="2517"/>
    <cellStyle name="20% - Accent6 5 3 2 2 2" xfId="10906"/>
    <cellStyle name="20% - Accent6 5 3 2 2 2 2" xfId="24848"/>
    <cellStyle name="20% - Accent6 5 3 2 2 3" xfId="19841"/>
    <cellStyle name="20% - Accent6 5 3 2 3" xfId="2518"/>
    <cellStyle name="20% - Accent6 5 3 2 3 2" xfId="12562"/>
    <cellStyle name="20% - Accent6 5 3 2 3 2 2" xfId="26274"/>
    <cellStyle name="20% - Accent6 5 3 2 3 3" xfId="19842"/>
    <cellStyle name="20% - Accent6 5 3 2 4" xfId="2519"/>
    <cellStyle name="20% - Accent6 5 3 2 4 2" xfId="15034"/>
    <cellStyle name="20% - Accent6 5 3 2 4 2 2" xfId="28583"/>
    <cellStyle name="20% - Accent6 5 3 2 4 3" xfId="19843"/>
    <cellStyle name="20% - Accent6 5 3 2 5" xfId="2520"/>
    <cellStyle name="20% - Accent6 5 3 2 5 2" xfId="16740"/>
    <cellStyle name="20% - Accent6 5 3 2 5 2 2" xfId="30147"/>
    <cellStyle name="20% - Accent6 5 3 2 5 3" xfId="19844"/>
    <cellStyle name="20% - Accent6 5 3 2 6" xfId="9180"/>
    <cellStyle name="20% - Accent6 5 3 2 6 2" xfId="23655"/>
    <cellStyle name="20% - Accent6 5 3 2 7" xfId="19840"/>
    <cellStyle name="20% - Accent6 5 3 3" xfId="2521"/>
    <cellStyle name="20% - Accent6 5 3 3 2" xfId="2522"/>
    <cellStyle name="20% - Accent6 5 3 3 2 2" xfId="15035"/>
    <cellStyle name="20% - Accent6 5 3 3 2 2 2" xfId="28584"/>
    <cellStyle name="20% - Accent6 5 3 3 2 3" xfId="19846"/>
    <cellStyle name="20% - Accent6 5 3 3 3" xfId="10905"/>
    <cellStyle name="20% - Accent6 5 3 3 3 2" xfId="24847"/>
    <cellStyle name="20% - Accent6 5 3 3 4" xfId="19845"/>
    <cellStyle name="20% - Accent6 5 3 4" xfId="2523"/>
    <cellStyle name="20% - Accent6 5 3 4 2" xfId="12128"/>
    <cellStyle name="20% - Accent6 5 3 4 2 2" xfId="25840"/>
    <cellStyle name="20% - Accent6 5 3 4 3" xfId="19847"/>
    <cellStyle name="20% - Accent6 5 3 5" xfId="2524"/>
    <cellStyle name="20% - Accent6 5 3 5 2" xfId="12806"/>
    <cellStyle name="20% - Accent6 5 3 5 2 2" xfId="26518"/>
    <cellStyle name="20% - Accent6 5 3 5 3" xfId="19848"/>
    <cellStyle name="20% - Accent6 5 3 6" xfId="2525"/>
    <cellStyle name="20% - Accent6 5 3 6 2" xfId="13692"/>
    <cellStyle name="20% - Accent6 5 3 6 2 2" xfId="27241"/>
    <cellStyle name="20% - Accent6 5 3 6 3" xfId="19849"/>
    <cellStyle name="20% - Accent6 5 3 7" xfId="2526"/>
    <cellStyle name="20% - Accent6 5 3 7 2" xfId="14273"/>
    <cellStyle name="20% - Accent6 5 3 7 2 2" xfId="27822"/>
    <cellStyle name="20% - Accent6 5 3 7 3" xfId="19850"/>
    <cellStyle name="20% - Accent6 5 3 8" xfId="2527"/>
    <cellStyle name="20% - Accent6 5 3 8 2" xfId="15033"/>
    <cellStyle name="20% - Accent6 5 3 8 2 2" xfId="28582"/>
    <cellStyle name="20% - Accent6 5 3 8 3" xfId="19851"/>
    <cellStyle name="20% - Accent6 5 3 9" xfId="2528"/>
    <cellStyle name="20% - Accent6 5 3 9 2" xfId="16159"/>
    <cellStyle name="20% - Accent6 5 3 9 2 2" xfId="29566"/>
    <cellStyle name="20% - Accent6 5 3 9 3" xfId="19852"/>
    <cellStyle name="20% - Accent6 5 4" xfId="2529"/>
    <cellStyle name="20% - Accent6 5 4 2" xfId="2530"/>
    <cellStyle name="20% - Accent6 5 4 2 2" xfId="10907"/>
    <cellStyle name="20% - Accent6 5 4 2 2 2" xfId="24849"/>
    <cellStyle name="20% - Accent6 5 4 2 3" xfId="19854"/>
    <cellStyle name="20% - Accent6 5 4 3" xfId="2531"/>
    <cellStyle name="20% - Accent6 5 4 3 2" xfId="12116"/>
    <cellStyle name="20% - Accent6 5 4 3 2 2" xfId="25828"/>
    <cellStyle name="20% - Accent6 5 4 3 3" xfId="19855"/>
    <cellStyle name="20% - Accent6 5 4 4" xfId="2532"/>
    <cellStyle name="20% - Accent6 5 4 4 2" xfId="15036"/>
    <cellStyle name="20% - Accent6 5 4 4 2 2" xfId="28585"/>
    <cellStyle name="20% - Accent6 5 4 4 3" xfId="19856"/>
    <cellStyle name="20% - Accent6 5 4 5" xfId="2533"/>
    <cellStyle name="20% - Accent6 5 4 5 2" xfId="16448"/>
    <cellStyle name="20% - Accent6 5 4 5 2 2" xfId="29855"/>
    <cellStyle name="20% - Accent6 5 4 5 3" xfId="19857"/>
    <cellStyle name="20% - Accent6 5 4 6" xfId="9181"/>
    <cellStyle name="20% - Accent6 5 4 6 2" xfId="23656"/>
    <cellStyle name="20% - Accent6 5 4 7" xfId="19853"/>
    <cellStyle name="20% - Accent6 5 5" xfId="2534"/>
    <cellStyle name="20% - Accent6 5 5 2" xfId="2535"/>
    <cellStyle name="20% - Accent6 5 5 2 2" xfId="15037"/>
    <cellStyle name="20% - Accent6 5 5 2 2 2" xfId="28586"/>
    <cellStyle name="20% - Accent6 5 5 2 3" xfId="19859"/>
    <cellStyle name="20% - Accent6 5 5 3" xfId="10900"/>
    <cellStyle name="20% - Accent6 5 5 3 2" xfId="24842"/>
    <cellStyle name="20% - Accent6 5 5 4" xfId="19858"/>
    <cellStyle name="20% - Accent6 5 6" xfId="2536"/>
    <cellStyle name="20% - Accent6 5 6 2" xfId="11799"/>
    <cellStyle name="20% - Accent6 5 6 2 2" xfId="25514"/>
    <cellStyle name="20% - Accent6 5 6 3" xfId="19860"/>
    <cellStyle name="20% - Accent6 5 7" xfId="2537"/>
    <cellStyle name="20% - Accent6 5 7 2" xfId="12559"/>
    <cellStyle name="20% - Accent6 5 7 2 2" xfId="26271"/>
    <cellStyle name="20% - Accent6 5 7 3" xfId="19861"/>
    <cellStyle name="20% - Accent6 5 8" xfId="2538"/>
    <cellStyle name="20% - Accent6 5 8 2" xfId="13400"/>
    <cellStyle name="20% - Accent6 5 8 2 2" xfId="26949"/>
    <cellStyle name="20% - Accent6 5 8 3" xfId="19862"/>
    <cellStyle name="20% - Accent6 5 9" xfId="2539"/>
    <cellStyle name="20% - Accent6 5 9 2" xfId="13981"/>
    <cellStyle name="20% - Accent6 5 9 2 2" xfId="27530"/>
    <cellStyle name="20% - Accent6 5 9 3" xfId="19863"/>
    <cellStyle name="20% - Accent6 6" xfId="2540"/>
    <cellStyle name="20% - Accent6 6 10" xfId="2541"/>
    <cellStyle name="20% - Accent6 6 10 2" xfId="15038"/>
    <cellStyle name="20% - Accent6 6 10 2 2" xfId="28587"/>
    <cellStyle name="20% - Accent6 6 10 3" xfId="19865"/>
    <cellStyle name="20% - Accent6 6 11" xfId="2542"/>
    <cellStyle name="20% - Accent6 6 11 2" xfId="15973"/>
    <cellStyle name="20% - Accent6 6 11 2 2" xfId="29380"/>
    <cellStyle name="20% - Accent6 6 11 3" xfId="19866"/>
    <cellStyle name="20% - Accent6 6 12" xfId="9182"/>
    <cellStyle name="20% - Accent6 6 12 2" xfId="23657"/>
    <cellStyle name="20% - Accent6 6 13" xfId="19864"/>
    <cellStyle name="20% - Accent6 6 2" xfId="2543"/>
    <cellStyle name="20% - Accent6 6 2 10" xfId="2544"/>
    <cellStyle name="20% - Accent6 6 2 10 2" xfId="16116"/>
    <cellStyle name="20% - Accent6 6 2 10 2 2" xfId="29523"/>
    <cellStyle name="20% - Accent6 6 2 10 3" xfId="19868"/>
    <cellStyle name="20% - Accent6 6 2 11" xfId="9183"/>
    <cellStyle name="20% - Accent6 6 2 11 2" xfId="23658"/>
    <cellStyle name="20% - Accent6 6 2 12" xfId="19867"/>
    <cellStyle name="20% - Accent6 6 2 2" xfId="2545"/>
    <cellStyle name="20% - Accent6 6 2 2 10" xfId="9184"/>
    <cellStyle name="20% - Accent6 6 2 2 10 2" xfId="23659"/>
    <cellStyle name="20% - Accent6 6 2 2 11" xfId="19869"/>
    <cellStyle name="20% - Accent6 6 2 2 2" xfId="2546"/>
    <cellStyle name="20% - Accent6 6 2 2 2 2" xfId="2547"/>
    <cellStyle name="20% - Accent6 6 2 2 2 2 2" xfId="10911"/>
    <cellStyle name="20% - Accent6 6 2 2 2 2 2 2" xfId="24853"/>
    <cellStyle name="20% - Accent6 6 2 2 2 2 3" xfId="19871"/>
    <cellStyle name="20% - Accent6 6 2 2 2 3" xfId="2548"/>
    <cellStyle name="20% - Accent6 6 2 2 2 3 2" xfId="12793"/>
    <cellStyle name="20% - Accent6 6 2 2 2 3 2 2" xfId="26505"/>
    <cellStyle name="20% - Accent6 6 2 2 2 3 3" xfId="19872"/>
    <cellStyle name="20% - Accent6 6 2 2 2 4" xfId="2549"/>
    <cellStyle name="20% - Accent6 6 2 2 2 4 2" xfId="15041"/>
    <cellStyle name="20% - Accent6 6 2 2 2 4 2 2" xfId="28590"/>
    <cellStyle name="20% - Accent6 6 2 2 2 4 3" xfId="19873"/>
    <cellStyle name="20% - Accent6 6 2 2 2 5" xfId="2550"/>
    <cellStyle name="20% - Accent6 6 2 2 2 5 2" xfId="16986"/>
    <cellStyle name="20% - Accent6 6 2 2 2 5 2 2" xfId="30393"/>
    <cellStyle name="20% - Accent6 6 2 2 2 5 3" xfId="19874"/>
    <cellStyle name="20% - Accent6 6 2 2 2 6" xfId="9185"/>
    <cellStyle name="20% - Accent6 6 2 2 2 6 2" xfId="23660"/>
    <cellStyle name="20% - Accent6 6 2 2 2 7" xfId="19870"/>
    <cellStyle name="20% - Accent6 6 2 2 3" xfId="2551"/>
    <cellStyle name="20% - Accent6 6 2 2 3 2" xfId="2552"/>
    <cellStyle name="20% - Accent6 6 2 2 3 2 2" xfId="15042"/>
    <cellStyle name="20% - Accent6 6 2 2 3 2 2 2" xfId="28591"/>
    <cellStyle name="20% - Accent6 6 2 2 3 2 3" xfId="19876"/>
    <cellStyle name="20% - Accent6 6 2 2 3 3" xfId="10910"/>
    <cellStyle name="20% - Accent6 6 2 2 3 3 2" xfId="24852"/>
    <cellStyle name="20% - Accent6 6 2 2 3 4" xfId="19875"/>
    <cellStyle name="20% - Accent6 6 2 2 4" xfId="2553"/>
    <cellStyle name="20% - Accent6 6 2 2 4 2" xfId="12374"/>
    <cellStyle name="20% - Accent6 6 2 2 4 2 2" xfId="26086"/>
    <cellStyle name="20% - Accent6 6 2 2 4 3" xfId="19877"/>
    <cellStyle name="20% - Accent6 6 2 2 5" xfId="2554"/>
    <cellStyle name="20% - Accent6 6 2 2 5 2" xfId="12701"/>
    <cellStyle name="20% - Accent6 6 2 2 5 2 2" xfId="26413"/>
    <cellStyle name="20% - Accent6 6 2 2 5 3" xfId="19878"/>
    <cellStyle name="20% - Accent6 6 2 2 6" xfId="2555"/>
    <cellStyle name="20% - Accent6 6 2 2 6 2" xfId="13938"/>
    <cellStyle name="20% - Accent6 6 2 2 6 2 2" xfId="27487"/>
    <cellStyle name="20% - Accent6 6 2 2 6 3" xfId="19879"/>
    <cellStyle name="20% - Accent6 6 2 2 7" xfId="2556"/>
    <cellStyle name="20% - Accent6 6 2 2 7 2" xfId="14519"/>
    <cellStyle name="20% - Accent6 6 2 2 7 2 2" xfId="28068"/>
    <cellStyle name="20% - Accent6 6 2 2 7 3" xfId="19880"/>
    <cellStyle name="20% - Accent6 6 2 2 8" xfId="2557"/>
    <cellStyle name="20% - Accent6 6 2 2 8 2" xfId="15040"/>
    <cellStyle name="20% - Accent6 6 2 2 8 2 2" xfId="28589"/>
    <cellStyle name="20% - Accent6 6 2 2 8 3" xfId="19881"/>
    <cellStyle name="20% - Accent6 6 2 2 9" xfId="2558"/>
    <cellStyle name="20% - Accent6 6 2 2 9 2" xfId="16405"/>
    <cellStyle name="20% - Accent6 6 2 2 9 2 2" xfId="29812"/>
    <cellStyle name="20% - Accent6 6 2 2 9 3" xfId="19882"/>
    <cellStyle name="20% - Accent6 6 2 3" xfId="2559"/>
    <cellStyle name="20% - Accent6 6 2 3 2" xfId="2560"/>
    <cellStyle name="20% - Accent6 6 2 3 2 2" xfId="10912"/>
    <cellStyle name="20% - Accent6 6 2 3 2 2 2" xfId="24854"/>
    <cellStyle name="20% - Accent6 6 2 3 2 3" xfId="19884"/>
    <cellStyle name="20% - Accent6 6 2 3 3" xfId="2561"/>
    <cellStyle name="20% - Accent6 6 2 3 3 2" xfId="12708"/>
    <cellStyle name="20% - Accent6 6 2 3 3 2 2" xfId="26420"/>
    <cellStyle name="20% - Accent6 6 2 3 3 3" xfId="19885"/>
    <cellStyle name="20% - Accent6 6 2 3 4" xfId="2562"/>
    <cellStyle name="20% - Accent6 6 2 3 4 2" xfId="15043"/>
    <cellStyle name="20% - Accent6 6 2 3 4 2 2" xfId="28592"/>
    <cellStyle name="20% - Accent6 6 2 3 4 3" xfId="19886"/>
    <cellStyle name="20% - Accent6 6 2 3 5" xfId="2563"/>
    <cellStyle name="20% - Accent6 6 2 3 5 2" xfId="16697"/>
    <cellStyle name="20% - Accent6 6 2 3 5 2 2" xfId="30104"/>
    <cellStyle name="20% - Accent6 6 2 3 5 3" xfId="19887"/>
    <cellStyle name="20% - Accent6 6 2 3 6" xfId="9186"/>
    <cellStyle name="20% - Accent6 6 2 3 6 2" xfId="23661"/>
    <cellStyle name="20% - Accent6 6 2 3 7" xfId="19883"/>
    <cellStyle name="20% - Accent6 6 2 4" xfId="2564"/>
    <cellStyle name="20% - Accent6 6 2 4 2" xfId="2565"/>
    <cellStyle name="20% - Accent6 6 2 4 2 2" xfId="15044"/>
    <cellStyle name="20% - Accent6 6 2 4 2 2 2" xfId="28593"/>
    <cellStyle name="20% - Accent6 6 2 4 2 3" xfId="19889"/>
    <cellStyle name="20% - Accent6 6 2 4 3" xfId="10909"/>
    <cellStyle name="20% - Accent6 6 2 4 3 2" xfId="24851"/>
    <cellStyle name="20% - Accent6 6 2 4 4" xfId="19888"/>
    <cellStyle name="20% - Accent6 6 2 5" xfId="2566"/>
    <cellStyle name="20% - Accent6 6 2 5 2" xfId="12074"/>
    <cellStyle name="20% - Accent6 6 2 5 2 2" xfId="25789"/>
    <cellStyle name="20% - Accent6 6 2 5 3" xfId="19890"/>
    <cellStyle name="20% - Accent6 6 2 6" xfId="2567"/>
    <cellStyle name="20% - Accent6 6 2 6 2" xfId="12661"/>
    <cellStyle name="20% - Accent6 6 2 6 2 2" xfId="26373"/>
    <cellStyle name="20% - Accent6 6 2 6 3" xfId="19891"/>
    <cellStyle name="20% - Accent6 6 2 7" xfId="2568"/>
    <cellStyle name="20% - Accent6 6 2 7 2" xfId="13649"/>
    <cellStyle name="20% - Accent6 6 2 7 2 2" xfId="27198"/>
    <cellStyle name="20% - Accent6 6 2 7 3" xfId="19892"/>
    <cellStyle name="20% - Accent6 6 2 8" xfId="2569"/>
    <cellStyle name="20% - Accent6 6 2 8 2" xfId="14230"/>
    <cellStyle name="20% - Accent6 6 2 8 2 2" xfId="27779"/>
    <cellStyle name="20% - Accent6 6 2 8 3" xfId="19893"/>
    <cellStyle name="20% - Accent6 6 2 9" xfId="2570"/>
    <cellStyle name="20% - Accent6 6 2 9 2" xfId="15039"/>
    <cellStyle name="20% - Accent6 6 2 9 2 2" xfId="28588"/>
    <cellStyle name="20% - Accent6 6 2 9 3" xfId="19894"/>
    <cellStyle name="20% - Accent6 6 3" xfId="2571"/>
    <cellStyle name="20% - Accent6 6 3 10" xfId="9187"/>
    <cellStyle name="20% - Accent6 6 3 10 2" xfId="23662"/>
    <cellStyle name="20% - Accent6 6 3 11" xfId="19895"/>
    <cellStyle name="20% - Accent6 6 3 2" xfId="2572"/>
    <cellStyle name="20% - Accent6 6 3 2 2" xfId="2573"/>
    <cellStyle name="20% - Accent6 6 3 2 2 2" xfId="10914"/>
    <cellStyle name="20% - Accent6 6 3 2 2 2 2" xfId="24856"/>
    <cellStyle name="20% - Accent6 6 3 2 2 3" xfId="19897"/>
    <cellStyle name="20% - Accent6 6 3 2 3" xfId="2574"/>
    <cellStyle name="20% - Accent6 6 3 2 3 2" xfId="12667"/>
    <cellStyle name="20% - Accent6 6 3 2 3 2 2" xfId="26379"/>
    <cellStyle name="20% - Accent6 6 3 2 3 3" xfId="19898"/>
    <cellStyle name="20% - Accent6 6 3 2 4" xfId="2575"/>
    <cellStyle name="20% - Accent6 6 3 2 4 2" xfId="15046"/>
    <cellStyle name="20% - Accent6 6 3 2 4 2 2" xfId="28595"/>
    <cellStyle name="20% - Accent6 6 3 2 4 3" xfId="19899"/>
    <cellStyle name="20% - Accent6 6 3 2 5" xfId="2576"/>
    <cellStyle name="20% - Accent6 6 3 2 5 2" xfId="16843"/>
    <cellStyle name="20% - Accent6 6 3 2 5 2 2" xfId="30250"/>
    <cellStyle name="20% - Accent6 6 3 2 5 3" xfId="19900"/>
    <cellStyle name="20% - Accent6 6 3 2 6" xfId="9188"/>
    <cellStyle name="20% - Accent6 6 3 2 6 2" xfId="23663"/>
    <cellStyle name="20% - Accent6 6 3 2 7" xfId="19896"/>
    <cellStyle name="20% - Accent6 6 3 3" xfId="2577"/>
    <cellStyle name="20% - Accent6 6 3 3 2" xfId="2578"/>
    <cellStyle name="20% - Accent6 6 3 3 2 2" xfId="15047"/>
    <cellStyle name="20% - Accent6 6 3 3 2 2 2" xfId="28596"/>
    <cellStyle name="20% - Accent6 6 3 3 2 3" xfId="19902"/>
    <cellStyle name="20% - Accent6 6 3 3 3" xfId="10913"/>
    <cellStyle name="20% - Accent6 6 3 3 3 2" xfId="24855"/>
    <cellStyle name="20% - Accent6 6 3 3 4" xfId="19901"/>
    <cellStyle name="20% - Accent6 6 3 4" xfId="2579"/>
    <cellStyle name="20% - Accent6 6 3 4 2" xfId="12231"/>
    <cellStyle name="20% - Accent6 6 3 4 2 2" xfId="25943"/>
    <cellStyle name="20% - Accent6 6 3 4 3" xfId="19903"/>
    <cellStyle name="20% - Accent6 6 3 5" xfId="2580"/>
    <cellStyle name="20% - Accent6 6 3 5 2" xfId="12631"/>
    <cellStyle name="20% - Accent6 6 3 5 2 2" xfId="26343"/>
    <cellStyle name="20% - Accent6 6 3 5 3" xfId="19904"/>
    <cellStyle name="20% - Accent6 6 3 6" xfId="2581"/>
    <cellStyle name="20% - Accent6 6 3 6 2" xfId="13795"/>
    <cellStyle name="20% - Accent6 6 3 6 2 2" xfId="27344"/>
    <cellStyle name="20% - Accent6 6 3 6 3" xfId="19905"/>
    <cellStyle name="20% - Accent6 6 3 7" xfId="2582"/>
    <cellStyle name="20% - Accent6 6 3 7 2" xfId="14376"/>
    <cellStyle name="20% - Accent6 6 3 7 2 2" xfId="27925"/>
    <cellStyle name="20% - Accent6 6 3 7 3" xfId="19906"/>
    <cellStyle name="20% - Accent6 6 3 8" xfId="2583"/>
    <cellStyle name="20% - Accent6 6 3 8 2" xfId="15045"/>
    <cellStyle name="20% - Accent6 6 3 8 2 2" xfId="28594"/>
    <cellStyle name="20% - Accent6 6 3 8 3" xfId="19907"/>
    <cellStyle name="20% - Accent6 6 3 9" xfId="2584"/>
    <cellStyle name="20% - Accent6 6 3 9 2" xfId="16262"/>
    <cellStyle name="20% - Accent6 6 3 9 2 2" xfId="29669"/>
    <cellStyle name="20% - Accent6 6 3 9 3" xfId="19908"/>
    <cellStyle name="20% - Accent6 6 4" xfId="2585"/>
    <cellStyle name="20% - Accent6 6 4 2" xfId="2586"/>
    <cellStyle name="20% - Accent6 6 4 2 2" xfId="10915"/>
    <cellStyle name="20% - Accent6 6 4 2 2 2" xfId="24857"/>
    <cellStyle name="20% - Accent6 6 4 2 3" xfId="19910"/>
    <cellStyle name="20% - Accent6 6 4 3" xfId="2587"/>
    <cellStyle name="20% - Accent6 6 4 3 2" xfId="12707"/>
    <cellStyle name="20% - Accent6 6 4 3 2 2" xfId="26419"/>
    <cellStyle name="20% - Accent6 6 4 3 3" xfId="19911"/>
    <cellStyle name="20% - Accent6 6 4 4" xfId="2588"/>
    <cellStyle name="20% - Accent6 6 4 4 2" xfId="15048"/>
    <cellStyle name="20% - Accent6 6 4 4 2 2" xfId="28597"/>
    <cellStyle name="20% - Accent6 6 4 4 3" xfId="19912"/>
    <cellStyle name="20% - Accent6 6 4 5" xfId="2589"/>
    <cellStyle name="20% - Accent6 6 4 5 2" xfId="16554"/>
    <cellStyle name="20% - Accent6 6 4 5 2 2" xfId="29961"/>
    <cellStyle name="20% - Accent6 6 4 5 3" xfId="19913"/>
    <cellStyle name="20% - Accent6 6 4 6" xfId="9189"/>
    <cellStyle name="20% - Accent6 6 4 6 2" xfId="23664"/>
    <cellStyle name="20% - Accent6 6 4 7" xfId="19909"/>
    <cellStyle name="20% - Accent6 6 5" xfId="2590"/>
    <cellStyle name="20% - Accent6 6 5 2" xfId="2591"/>
    <cellStyle name="20% - Accent6 6 5 2 2" xfId="15049"/>
    <cellStyle name="20% - Accent6 6 5 2 2 2" xfId="28598"/>
    <cellStyle name="20% - Accent6 6 5 2 3" xfId="19915"/>
    <cellStyle name="20% - Accent6 6 5 3" xfId="10908"/>
    <cellStyle name="20% - Accent6 6 5 3 2" xfId="24850"/>
    <cellStyle name="20% - Accent6 6 5 4" xfId="19914"/>
    <cellStyle name="20% - Accent6 6 6" xfId="2592"/>
    <cellStyle name="20% - Accent6 6 6 2" xfId="11929"/>
    <cellStyle name="20% - Accent6 6 6 2 2" xfId="25644"/>
    <cellStyle name="20% - Accent6 6 6 3" xfId="19916"/>
    <cellStyle name="20% - Accent6 6 7" xfId="2593"/>
    <cellStyle name="20% - Accent6 6 7 2" xfId="12568"/>
    <cellStyle name="20% - Accent6 6 7 2 2" xfId="26280"/>
    <cellStyle name="20% - Accent6 6 7 3" xfId="19917"/>
    <cellStyle name="20% - Accent6 6 8" xfId="2594"/>
    <cellStyle name="20% - Accent6 6 8 2" xfId="13506"/>
    <cellStyle name="20% - Accent6 6 8 2 2" xfId="27055"/>
    <cellStyle name="20% - Accent6 6 8 3" xfId="19918"/>
    <cellStyle name="20% - Accent6 6 9" xfId="2595"/>
    <cellStyle name="20% - Accent6 6 9 2" xfId="14087"/>
    <cellStyle name="20% - Accent6 6 9 2 2" xfId="27636"/>
    <cellStyle name="20% - Accent6 6 9 3" xfId="19919"/>
    <cellStyle name="20% - Accent6 7" xfId="2596"/>
    <cellStyle name="20% - Accent6 7 10" xfId="2597"/>
    <cellStyle name="20% - Accent6 7 10 2" xfId="15998"/>
    <cellStyle name="20% - Accent6 7 10 2 2" xfId="29405"/>
    <cellStyle name="20% - Accent6 7 10 3" xfId="19921"/>
    <cellStyle name="20% - Accent6 7 11" xfId="9190"/>
    <cellStyle name="20% - Accent6 7 11 2" xfId="23665"/>
    <cellStyle name="20% - Accent6 7 12" xfId="19920"/>
    <cellStyle name="20% - Accent6 7 2" xfId="2598"/>
    <cellStyle name="20% - Accent6 7 2 10" xfId="9191"/>
    <cellStyle name="20% - Accent6 7 2 10 2" xfId="23666"/>
    <cellStyle name="20% - Accent6 7 2 11" xfId="19922"/>
    <cellStyle name="20% - Accent6 7 2 2" xfId="2599"/>
    <cellStyle name="20% - Accent6 7 2 2 2" xfId="2600"/>
    <cellStyle name="20% - Accent6 7 2 2 2 2" xfId="10918"/>
    <cellStyle name="20% - Accent6 7 2 2 2 2 2" xfId="24860"/>
    <cellStyle name="20% - Accent6 7 2 2 2 3" xfId="19924"/>
    <cellStyle name="20% - Accent6 7 2 2 3" xfId="2601"/>
    <cellStyle name="20% - Accent6 7 2 2 3 2" xfId="11854"/>
    <cellStyle name="20% - Accent6 7 2 2 3 2 2" xfId="25569"/>
    <cellStyle name="20% - Accent6 7 2 2 3 3" xfId="19925"/>
    <cellStyle name="20% - Accent6 7 2 2 4" xfId="2602"/>
    <cellStyle name="20% - Accent6 7 2 2 4 2" xfId="15052"/>
    <cellStyle name="20% - Accent6 7 2 2 4 2 2" xfId="28601"/>
    <cellStyle name="20% - Accent6 7 2 2 4 3" xfId="19926"/>
    <cellStyle name="20% - Accent6 7 2 2 5" xfId="2603"/>
    <cellStyle name="20% - Accent6 7 2 2 5 2" xfId="16868"/>
    <cellStyle name="20% - Accent6 7 2 2 5 2 2" xfId="30275"/>
    <cellStyle name="20% - Accent6 7 2 2 5 3" xfId="19927"/>
    <cellStyle name="20% - Accent6 7 2 2 6" xfId="9192"/>
    <cellStyle name="20% - Accent6 7 2 2 6 2" xfId="23667"/>
    <cellStyle name="20% - Accent6 7 2 2 7" xfId="19923"/>
    <cellStyle name="20% - Accent6 7 2 3" xfId="2604"/>
    <cellStyle name="20% - Accent6 7 2 3 2" xfId="2605"/>
    <cellStyle name="20% - Accent6 7 2 3 2 2" xfId="15053"/>
    <cellStyle name="20% - Accent6 7 2 3 2 2 2" xfId="28602"/>
    <cellStyle name="20% - Accent6 7 2 3 2 3" xfId="19929"/>
    <cellStyle name="20% - Accent6 7 2 3 3" xfId="10917"/>
    <cellStyle name="20% - Accent6 7 2 3 3 2" xfId="24859"/>
    <cellStyle name="20% - Accent6 7 2 3 4" xfId="19928"/>
    <cellStyle name="20% - Accent6 7 2 4" xfId="2606"/>
    <cellStyle name="20% - Accent6 7 2 4 2" xfId="12256"/>
    <cellStyle name="20% - Accent6 7 2 4 2 2" xfId="25968"/>
    <cellStyle name="20% - Accent6 7 2 4 3" xfId="19930"/>
    <cellStyle name="20% - Accent6 7 2 5" xfId="2607"/>
    <cellStyle name="20% - Accent6 7 2 5 2" xfId="12759"/>
    <cellStyle name="20% - Accent6 7 2 5 2 2" xfId="26471"/>
    <cellStyle name="20% - Accent6 7 2 5 3" xfId="19931"/>
    <cellStyle name="20% - Accent6 7 2 6" xfId="2608"/>
    <cellStyle name="20% - Accent6 7 2 6 2" xfId="13820"/>
    <cellStyle name="20% - Accent6 7 2 6 2 2" xfId="27369"/>
    <cellStyle name="20% - Accent6 7 2 6 3" xfId="19932"/>
    <cellStyle name="20% - Accent6 7 2 7" xfId="2609"/>
    <cellStyle name="20% - Accent6 7 2 7 2" xfId="14401"/>
    <cellStyle name="20% - Accent6 7 2 7 2 2" xfId="27950"/>
    <cellStyle name="20% - Accent6 7 2 7 3" xfId="19933"/>
    <cellStyle name="20% - Accent6 7 2 8" xfId="2610"/>
    <cellStyle name="20% - Accent6 7 2 8 2" xfId="15051"/>
    <cellStyle name="20% - Accent6 7 2 8 2 2" xfId="28600"/>
    <cellStyle name="20% - Accent6 7 2 8 3" xfId="19934"/>
    <cellStyle name="20% - Accent6 7 2 9" xfId="2611"/>
    <cellStyle name="20% - Accent6 7 2 9 2" xfId="16287"/>
    <cellStyle name="20% - Accent6 7 2 9 2 2" xfId="29694"/>
    <cellStyle name="20% - Accent6 7 2 9 3" xfId="19935"/>
    <cellStyle name="20% - Accent6 7 3" xfId="2612"/>
    <cellStyle name="20% - Accent6 7 3 2" xfId="2613"/>
    <cellStyle name="20% - Accent6 7 3 2 2" xfId="10919"/>
    <cellStyle name="20% - Accent6 7 3 2 2 2" xfId="24861"/>
    <cellStyle name="20% - Accent6 7 3 2 3" xfId="19937"/>
    <cellStyle name="20% - Accent6 7 3 3" xfId="2614"/>
    <cellStyle name="20% - Accent6 7 3 3 2" xfId="12719"/>
    <cellStyle name="20% - Accent6 7 3 3 2 2" xfId="26431"/>
    <cellStyle name="20% - Accent6 7 3 3 3" xfId="19938"/>
    <cellStyle name="20% - Accent6 7 3 4" xfId="2615"/>
    <cellStyle name="20% - Accent6 7 3 4 2" xfId="15054"/>
    <cellStyle name="20% - Accent6 7 3 4 2 2" xfId="28603"/>
    <cellStyle name="20% - Accent6 7 3 4 3" xfId="19939"/>
    <cellStyle name="20% - Accent6 7 3 5" xfId="2616"/>
    <cellStyle name="20% - Accent6 7 3 5 2" xfId="16579"/>
    <cellStyle name="20% - Accent6 7 3 5 2 2" xfId="29986"/>
    <cellStyle name="20% - Accent6 7 3 5 3" xfId="19940"/>
    <cellStyle name="20% - Accent6 7 3 6" xfId="9193"/>
    <cellStyle name="20% - Accent6 7 3 6 2" xfId="23668"/>
    <cellStyle name="20% - Accent6 7 3 7" xfId="19936"/>
    <cellStyle name="20% - Accent6 7 4" xfId="2617"/>
    <cellStyle name="20% - Accent6 7 4 2" xfId="2618"/>
    <cellStyle name="20% - Accent6 7 4 2 2" xfId="15055"/>
    <cellStyle name="20% - Accent6 7 4 2 2 2" xfId="28604"/>
    <cellStyle name="20% - Accent6 7 4 2 3" xfId="19942"/>
    <cellStyle name="20% - Accent6 7 4 3" xfId="10916"/>
    <cellStyle name="20% - Accent6 7 4 3 2" xfId="24858"/>
    <cellStyle name="20% - Accent6 7 4 4" xfId="19941"/>
    <cellStyle name="20% - Accent6 7 5" xfId="2619"/>
    <cellStyle name="20% - Accent6 7 5 2" xfId="11954"/>
    <cellStyle name="20% - Accent6 7 5 2 2" xfId="25669"/>
    <cellStyle name="20% - Accent6 7 5 3" xfId="19943"/>
    <cellStyle name="20% - Accent6 7 6" xfId="2620"/>
    <cellStyle name="20% - Accent6 7 6 2" xfId="12554"/>
    <cellStyle name="20% - Accent6 7 6 2 2" xfId="26266"/>
    <cellStyle name="20% - Accent6 7 6 3" xfId="19944"/>
    <cellStyle name="20% - Accent6 7 7" xfId="2621"/>
    <cellStyle name="20% - Accent6 7 7 2" xfId="13531"/>
    <cellStyle name="20% - Accent6 7 7 2 2" xfId="27080"/>
    <cellStyle name="20% - Accent6 7 7 3" xfId="19945"/>
    <cellStyle name="20% - Accent6 7 8" xfId="2622"/>
    <cellStyle name="20% - Accent6 7 8 2" xfId="14112"/>
    <cellStyle name="20% - Accent6 7 8 2 2" xfId="27661"/>
    <cellStyle name="20% - Accent6 7 8 3" xfId="19946"/>
    <cellStyle name="20% - Accent6 7 9" xfId="2623"/>
    <cellStyle name="20% - Accent6 7 9 2" xfId="15050"/>
    <cellStyle name="20% - Accent6 7 9 2 2" xfId="28599"/>
    <cellStyle name="20% - Accent6 7 9 3" xfId="19947"/>
    <cellStyle name="20% - Accent6 8" xfId="2624"/>
    <cellStyle name="20% - Accent6 8 10" xfId="9194"/>
    <cellStyle name="20% - Accent6 8 10 2" xfId="23669"/>
    <cellStyle name="20% - Accent6 8 11" xfId="19948"/>
    <cellStyle name="20% - Accent6 8 2" xfId="2625"/>
    <cellStyle name="20% - Accent6 8 2 2" xfId="2626"/>
    <cellStyle name="20% - Accent6 8 2 2 2" xfId="10921"/>
    <cellStyle name="20% - Accent6 8 2 2 2 2" xfId="24863"/>
    <cellStyle name="20% - Accent6 8 2 2 3" xfId="19950"/>
    <cellStyle name="20% - Accent6 8 2 3" xfId="2627"/>
    <cellStyle name="20% - Accent6 8 2 3 2" xfId="11874"/>
    <cellStyle name="20% - Accent6 8 2 3 2 2" xfId="25589"/>
    <cellStyle name="20% - Accent6 8 2 3 3" xfId="19951"/>
    <cellStyle name="20% - Accent6 8 2 4" xfId="2628"/>
    <cellStyle name="20% - Accent6 8 2 4 2" xfId="15057"/>
    <cellStyle name="20% - Accent6 8 2 4 2 2" xfId="28606"/>
    <cellStyle name="20% - Accent6 8 2 4 3" xfId="19952"/>
    <cellStyle name="20% - Accent6 8 2 5" xfId="2629"/>
    <cellStyle name="20% - Accent6 8 2 5 2" xfId="16717"/>
    <cellStyle name="20% - Accent6 8 2 5 2 2" xfId="30124"/>
    <cellStyle name="20% - Accent6 8 2 5 3" xfId="19953"/>
    <cellStyle name="20% - Accent6 8 2 6" xfId="9195"/>
    <cellStyle name="20% - Accent6 8 2 6 2" xfId="23670"/>
    <cellStyle name="20% - Accent6 8 2 7" xfId="19949"/>
    <cellStyle name="20% - Accent6 8 3" xfId="2630"/>
    <cellStyle name="20% - Accent6 8 3 2" xfId="2631"/>
    <cellStyle name="20% - Accent6 8 3 2 2" xfId="15058"/>
    <cellStyle name="20% - Accent6 8 3 2 2 2" xfId="28607"/>
    <cellStyle name="20% - Accent6 8 3 2 3" xfId="19955"/>
    <cellStyle name="20% - Accent6 8 3 3" xfId="10920"/>
    <cellStyle name="20% - Accent6 8 3 3 2" xfId="24862"/>
    <cellStyle name="20% - Accent6 8 3 4" xfId="19954"/>
    <cellStyle name="20% - Accent6 8 4" xfId="2632"/>
    <cellStyle name="20% - Accent6 8 4 2" xfId="12095"/>
    <cellStyle name="20% - Accent6 8 4 2 2" xfId="25809"/>
    <cellStyle name="20% - Accent6 8 4 3" xfId="19956"/>
    <cellStyle name="20% - Accent6 8 5" xfId="2633"/>
    <cellStyle name="20% - Accent6 8 5 2" xfId="12705"/>
    <cellStyle name="20% - Accent6 8 5 2 2" xfId="26417"/>
    <cellStyle name="20% - Accent6 8 5 3" xfId="19957"/>
    <cellStyle name="20% - Accent6 8 6" xfId="2634"/>
    <cellStyle name="20% - Accent6 8 6 2" xfId="13669"/>
    <cellStyle name="20% - Accent6 8 6 2 2" xfId="27218"/>
    <cellStyle name="20% - Accent6 8 6 3" xfId="19958"/>
    <cellStyle name="20% - Accent6 8 7" xfId="2635"/>
    <cellStyle name="20% - Accent6 8 7 2" xfId="14250"/>
    <cellStyle name="20% - Accent6 8 7 2 2" xfId="27799"/>
    <cellStyle name="20% - Accent6 8 7 3" xfId="19959"/>
    <cellStyle name="20% - Accent6 8 8" xfId="2636"/>
    <cellStyle name="20% - Accent6 8 8 2" xfId="15056"/>
    <cellStyle name="20% - Accent6 8 8 2 2" xfId="28605"/>
    <cellStyle name="20% - Accent6 8 8 3" xfId="19960"/>
    <cellStyle name="20% - Accent6 8 9" xfId="2637"/>
    <cellStyle name="20% - Accent6 8 9 2" xfId="16136"/>
    <cellStyle name="20% - Accent6 8 9 2 2" xfId="29543"/>
    <cellStyle name="20% - Accent6 8 9 3" xfId="19961"/>
    <cellStyle name="20% - Accent6 9" xfId="2638"/>
    <cellStyle name="20% - Accent6 9 2" xfId="2639"/>
    <cellStyle name="20% - Accent6 9 2 2" xfId="10922"/>
    <cellStyle name="20% - Accent6 9 2 2 2" xfId="24864"/>
    <cellStyle name="20% - Accent6 9 2 3" xfId="19963"/>
    <cellStyle name="20% - Accent6 9 3" xfId="2640"/>
    <cellStyle name="20% - Accent6 9 3 2" xfId="12578"/>
    <cellStyle name="20% - Accent6 9 3 2 2" xfId="26290"/>
    <cellStyle name="20% - Accent6 9 3 3" xfId="19964"/>
    <cellStyle name="20% - Accent6 9 4" xfId="2641"/>
    <cellStyle name="20% - Accent6 9 4 2" xfId="15059"/>
    <cellStyle name="20% - Accent6 9 4 2 2" xfId="28608"/>
    <cellStyle name="20% - Accent6 9 4 3" xfId="19965"/>
    <cellStyle name="20% - Accent6 9 5" xfId="2642"/>
    <cellStyle name="20% - Accent6 9 5 2" xfId="17101"/>
    <cellStyle name="20% - Accent6 9 5 2 2" xfId="30460"/>
    <cellStyle name="20% - Accent6 9 5 3" xfId="19966"/>
    <cellStyle name="20% - Accent6 9 6" xfId="9196"/>
    <cellStyle name="20% - Accent6 9 6 2" xfId="23671"/>
    <cellStyle name="20% - Accent6 9 7" xfId="19962"/>
    <cellStyle name="40% - Accent1" xfId="29" builtinId="31" customBuiltin="1"/>
    <cellStyle name="40% - Accent1 10" xfId="2643"/>
    <cellStyle name="40% - Accent1 10 2" xfId="2644"/>
    <cellStyle name="40% - Accent1 10 2 2" xfId="2645"/>
    <cellStyle name="40% - Accent1 10 2 2 2" xfId="11856"/>
    <cellStyle name="40% - Accent1 10 2 2 2 2" xfId="25571"/>
    <cellStyle name="40% - Accent1 10 2 2 3" xfId="19969"/>
    <cellStyle name="40% - Accent1 10 2 3" xfId="2646"/>
    <cellStyle name="40% - Accent1 10 2 3 2" xfId="15062"/>
    <cellStyle name="40% - Accent1 10 2 3 2 2" xfId="28611"/>
    <cellStyle name="40% - Accent1 10 2 3 3" xfId="19970"/>
    <cellStyle name="40% - Accent1 10 2 4" xfId="10924"/>
    <cellStyle name="40% - Accent1 10 2 4 2" xfId="24866"/>
    <cellStyle name="40% - Accent1 10 2 5" xfId="19968"/>
    <cellStyle name="40% - Accent1 10 3" xfId="2647"/>
    <cellStyle name="40% - Accent1 10 3 2" xfId="12657"/>
    <cellStyle name="40% - Accent1 10 3 2 2" xfId="26369"/>
    <cellStyle name="40% - Accent1 10 3 3" xfId="19971"/>
    <cellStyle name="40% - Accent1 10 4" xfId="2648"/>
    <cellStyle name="40% - Accent1 10 4 2" xfId="15061"/>
    <cellStyle name="40% - Accent1 10 4 2 2" xfId="28610"/>
    <cellStyle name="40% - Accent1 10 4 3" xfId="19972"/>
    <cellStyle name="40% - Accent1 10 5" xfId="2649"/>
    <cellStyle name="40% - Accent1 10 5 2" xfId="17191"/>
    <cellStyle name="40% - Accent1 10 5 2 2" xfId="30550"/>
    <cellStyle name="40% - Accent1 10 5 3" xfId="19973"/>
    <cellStyle name="40% - Accent1 10 6" xfId="9198"/>
    <cellStyle name="40% - Accent1 10 6 2" xfId="23673"/>
    <cellStyle name="40% - Accent1 10 7" xfId="19967"/>
    <cellStyle name="40% - Accent1 11" xfId="2650"/>
    <cellStyle name="40% - Accent1 11 2" xfId="2651"/>
    <cellStyle name="40% - Accent1 11 2 2" xfId="10925"/>
    <cellStyle name="40% - Accent1 11 2 2 2" xfId="24867"/>
    <cellStyle name="40% - Accent1 11 2 3" xfId="19975"/>
    <cellStyle name="40% - Accent1 11 3" xfId="2652"/>
    <cellStyle name="40% - Accent1 11 3 2" xfId="12396"/>
    <cellStyle name="40% - Accent1 11 3 2 2" xfId="26108"/>
    <cellStyle name="40% - Accent1 11 3 3" xfId="19976"/>
    <cellStyle name="40% - Accent1 11 4" xfId="2653"/>
    <cellStyle name="40% - Accent1 11 4 2" xfId="15063"/>
    <cellStyle name="40% - Accent1 11 4 2 2" xfId="28612"/>
    <cellStyle name="40% - Accent1 11 4 3" xfId="19977"/>
    <cellStyle name="40% - Accent1 11 5" xfId="2654"/>
    <cellStyle name="40% - Accent1 11 5 2" xfId="17280"/>
    <cellStyle name="40% - Accent1 11 5 2 2" xfId="30639"/>
    <cellStyle name="40% - Accent1 11 5 3" xfId="19978"/>
    <cellStyle name="40% - Accent1 11 6" xfId="9199"/>
    <cellStyle name="40% - Accent1 11 6 2" xfId="23674"/>
    <cellStyle name="40% - Accent1 11 7" xfId="19974"/>
    <cellStyle name="40% - Accent1 12" xfId="2655"/>
    <cellStyle name="40% - Accent1 12 2" xfId="2656"/>
    <cellStyle name="40% - Accent1 12 2 2" xfId="2657"/>
    <cellStyle name="40% - Accent1 12 2 2 2" xfId="10927"/>
    <cellStyle name="40% - Accent1 12 2 2 2 2" xfId="24869"/>
    <cellStyle name="40% - Accent1 12 2 2 3" xfId="19981"/>
    <cellStyle name="40% - Accent1 12 2 3" xfId="2658"/>
    <cellStyle name="40% - Accent1 12 2 3 2" xfId="12775"/>
    <cellStyle name="40% - Accent1 12 2 3 2 2" xfId="26487"/>
    <cellStyle name="40% - Accent1 12 2 3 3" xfId="19982"/>
    <cellStyle name="40% - Accent1 12 2 4" xfId="2659"/>
    <cellStyle name="40% - Accent1 12 2 4 2" xfId="15065"/>
    <cellStyle name="40% - Accent1 12 2 4 2 2" xfId="28614"/>
    <cellStyle name="40% - Accent1 12 2 4 3" xfId="19983"/>
    <cellStyle name="40% - Accent1 12 2 5" xfId="9201"/>
    <cellStyle name="40% - Accent1 12 2 5 2" xfId="23676"/>
    <cellStyle name="40% - Accent1 12 2 6" xfId="19980"/>
    <cellStyle name="40% - Accent1 12 3" xfId="2660"/>
    <cellStyle name="40% - Accent1 12 3 2" xfId="10926"/>
    <cellStyle name="40% - Accent1 12 3 2 2" xfId="24868"/>
    <cellStyle name="40% - Accent1 12 3 3" xfId="19984"/>
    <cellStyle name="40% - Accent1 12 4" xfId="2661"/>
    <cellStyle name="40% - Accent1 12 4 2" xfId="11753"/>
    <cellStyle name="40% - Accent1 12 4 2 2" xfId="25468"/>
    <cellStyle name="40% - Accent1 12 4 3" xfId="19985"/>
    <cellStyle name="40% - Accent1 12 5" xfId="2662"/>
    <cellStyle name="40% - Accent1 12 5 2" xfId="15064"/>
    <cellStyle name="40% - Accent1 12 5 2 2" xfId="28613"/>
    <cellStyle name="40% - Accent1 12 5 3" xfId="19986"/>
    <cellStyle name="40% - Accent1 12 6" xfId="2663"/>
    <cellStyle name="40% - Accent1 12 6 2" xfId="16432"/>
    <cellStyle name="40% - Accent1 12 6 2 2" xfId="29839"/>
    <cellStyle name="40% - Accent1 12 6 3" xfId="19987"/>
    <cellStyle name="40% - Accent1 12 7" xfId="9200"/>
    <cellStyle name="40% - Accent1 12 7 2" xfId="23675"/>
    <cellStyle name="40% - Accent1 12 8" xfId="19979"/>
    <cellStyle name="40% - Accent1 13" xfId="2664"/>
    <cellStyle name="40% - Accent1 13 2" xfId="2665"/>
    <cellStyle name="40% - Accent1 13 2 2" xfId="10928"/>
    <cellStyle name="40% - Accent1 13 2 2 2" xfId="24870"/>
    <cellStyle name="40% - Accent1 13 2 3" xfId="19989"/>
    <cellStyle name="40% - Accent1 13 3" xfId="2666"/>
    <cellStyle name="40% - Accent1 13 3 2" xfId="11766"/>
    <cellStyle name="40% - Accent1 13 3 2 2" xfId="25481"/>
    <cellStyle name="40% - Accent1 13 3 3" xfId="19990"/>
    <cellStyle name="40% - Accent1 13 4" xfId="2667"/>
    <cellStyle name="40% - Accent1 13 4 2" xfId="15066"/>
    <cellStyle name="40% - Accent1 13 4 2 2" xfId="28615"/>
    <cellStyle name="40% - Accent1 13 4 3" xfId="19991"/>
    <cellStyle name="40% - Accent1 13 5" xfId="9202"/>
    <cellStyle name="40% - Accent1 13 5 2" xfId="23677"/>
    <cellStyle name="40% - Accent1 13 6" xfId="19988"/>
    <cellStyle name="40% - Accent1 14" xfId="2668"/>
    <cellStyle name="40% - Accent1 14 2" xfId="2669"/>
    <cellStyle name="40% - Accent1 14 2 2" xfId="10929"/>
    <cellStyle name="40% - Accent1 14 2 2 2" xfId="24871"/>
    <cellStyle name="40% - Accent1 14 2 3" xfId="19993"/>
    <cellStyle name="40% - Accent1 14 3" xfId="2670"/>
    <cellStyle name="40% - Accent1 14 3 2" xfId="12689"/>
    <cellStyle name="40% - Accent1 14 3 2 2" xfId="26401"/>
    <cellStyle name="40% - Accent1 14 3 3" xfId="19994"/>
    <cellStyle name="40% - Accent1 14 4" xfId="2671"/>
    <cellStyle name="40% - Accent1 14 4 2" xfId="15067"/>
    <cellStyle name="40% - Accent1 14 4 2 2" xfId="28616"/>
    <cellStyle name="40% - Accent1 14 4 3" xfId="19995"/>
    <cellStyle name="40% - Accent1 14 5" xfId="9203"/>
    <cellStyle name="40% - Accent1 14 5 2" xfId="23678"/>
    <cellStyle name="40% - Accent1 14 6" xfId="19992"/>
    <cellStyle name="40% - Accent1 15" xfId="2672"/>
    <cellStyle name="40% - Accent1 15 2" xfId="2673"/>
    <cellStyle name="40% - Accent1 15 2 2" xfId="10930"/>
    <cellStyle name="40% - Accent1 15 2 2 2" xfId="24872"/>
    <cellStyle name="40% - Accent1 15 2 3" xfId="19997"/>
    <cellStyle name="40% - Accent1 15 3" xfId="2674"/>
    <cellStyle name="40% - Accent1 15 3 2" xfId="12684"/>
    <cellStyle name="40% - Accent1 15 3 2 2" xfId="26396"/>
    <cellStyle name="40% - Accent1 15 3 3" xfId="19998"/>
    <cellStyle name="40% - Accent1 15 4" xfId="2675"/>
    <cellStyle name="40% - Accent1 15 4 2" xfId="15068"/>
    <cellStyle name="40% - Accent1 15 4 2 2" xfId="28617"/>
    <cellStyle name="40% - Accent1 15 4 3" xfId="19999"/>
    <cellStyle name="40% - Accent1 15 5" xfId="9204"/>
    <cellStyle name="40% - Accent1 15 5 2" xfId="23679"/>
    <cellStyle name="40% - Accent1 15 6" xfId="19996"/>
    <cellStyle name="40% - Accent1 16" xfId="2676"/>
    <cellStyle name="40% - Accent1 16 2" xfId="2677"/>
    <cellStyle name="40% - Accent1 16 2 2" xfId="10931"/>
    <cellStyle name="40% - Accent1 16 2 2 2" xfId="24873"/>
    <cellStyle name="40% - Accent1 16 2 3" xfId="20001"/>
    <cellStyle name="40% - Accent1 16 3" xfId="2678"/>
    <cellStyle name="40% - Accent1 16 3 2" xfId="12626"/>
    <cellStyle name="40% - Accent1 16 3 2 2" xfId="26338"/>
    <cellStyle name="40% - Accent1 16 3 3" xfId="20002"/>
    <cellStyle name="40% - Accent1 16 4" xfId="2679"/>
    <cellStyle name="40% - Accent1 16 4 2" xfId="15069"/>
    <cellStyle name="40% - Accent1 16 4 2 2" xfId="28618"/>
    <cellStyle name="40% - Accent1 16 4 3" xfId="20003"/>
    <cellStyle name="40% - Accent1 16 5" xfId="9205"/>
    <cellStyle name="40% - Accent1 16 5 2" xfId="23680"/>
    <cellStyle name="40% - Accent1 16 6" xfId="20000"/>
    <cellStyle name="40% - Accent1 17" xfId="2680"/>
    <cellStyle name="40% - Accent1 17 2" xfId="2681"/>
    <cellStyle name="40% - Accent1 17 2 2" xfId="10932"/>
    <cellStyle name="40% - Accent1 17 2 2 2" xfId="24874"/>
    <cellStyle name="40% - Accent1 17 2 3" xfId="20005"/>
    <cellStyle name="40% - Accent1 17 3" xfId="2682"/>
    <cellStyle name="40% - Accent1 17 3 2" xfId="11959"/>
    <cellStyle name="40% - Accent1 17 3 2 2" xfId="25674"/>
    <cellStyle name="40% - Accent1 17 3 3" xfId="20006"/>
    <cellStyle name="40% - Accent1 17 4" xfId="2683"/>
    <cellStyle name="40% - Accent1 17 4 2" xfId="15070"/>
    <cellStyle name="40% - Accent1 17 4 2 2" xfId="28619"/>
    <cellStyle name="40% - Accent1 17 4 3" xfId="20007"/>
    <cellStyle name="40% - Accent1 17 5" xfId="9206"/>
    <cellStyle name="40% - Accent1 17 5 2" xfId="23681"/>
    <cellStyle name="40% - Accent1 17 6" xfId="20004"/>
    <cellStyle name="40% - Accent1 18" xfId="2684"/>
    <cellStyle name="40% - Accent1 18 2" xfId="2685"/>
    <cellStyle name="40% - Accent1 18 2 2" xfId="10933"/>
    <cellStyle name="40% - Accent1 18 2 2 2" xfId="24875"/>
    <cellStyle name="40% - Accent1 18 2 3" xfId="20009"/>
    <cellStyle name="40% - Accent1 18 3" xfId="2686"/>
    <cellStyle name="40% - Accent1 18 3 2" xfId="12668"/>
    <cellStyle name="40% - Accent1 18 3 2 2" xfId="26380"/>
    <cellStyle name="40% - Accent1 18 3 3" xfId="20010"/>
    <cellStyle name="40% - Accent1 18 4" xfId="2687"/>
    <cellStyle name="40% - Accent1 18 4 2" xfId="15071"/>
    <cellStyle name="40% - Accent1 18 4 2 2" xfId="28620"/>
    <cellStyle name="40% - Accent1 18 4 3" xfId="20011"/>
    <cellStyle name="40% - Accent1 18 5" xfId="9207"/>
    <cellStyle name="40% - Accent1 18 5 2" xfId="23682"/>
    <cellStyle name="40% - Accent1 18 6" xfId="20008"/>
    <cellStyle name="40% - Accent1 19" xfId="2688"/>
    <cellStyle name="40% - Accent1 19 2" xfId="2689"/>
    <cellStyle name="40% - Accent1 19 2 2" xfId="11716"/>
    <cellStyle name="40% - Accent1 19 2 2 2" xfId="25436"/>
    <cellStyle name="40% - Accent1 19 2 3" xfId="20013"/>
    <cellStyle name="40% - Accent1 19 3" xfId="2690"/>
    <cellStyle name="40% - Accent1 19 3 2" xfId="12459"/>
    <cellStyle name="40% - Accent1 19 3 2 2" xfId="26171"/>
    <cellStyle name="40% - Accent1 19 3 3" xfId="20014"/>
    <cellStyle name="40% - Accent1 19 4" xfId="2691"/>
    <cellStyle name="40% - Accent1 19 4 2" xfId="15072"/>
    <cellStyle name="40% - Accent1 19 4 2 2" xfId="28621"/>
    <cellStyle name="40% - Accent1 19 4 3" xfId="20015"/>
    <cellStyle name="40% - Accent1 19 5" xfId="10468"/>
    <cellStyle name="40% - Accent1 19 5 2" xfId="24427"/>
    <cellStyle name="40% - Accent1 19 6" xfId="20012"/>
    <cellStyle name="40% - Accent1 2" xfId="2692"/>
    <cellStyle name="40% - Accent1 2 10" xfId="2693"/>
    <cellStyle name="40% - Accent1 2 10 2" xfId="2694"/>
    <cellStyle name="40% - Accent1 2 10 2 2" xfId="15074"/>
    <cellStyle name="40% - Accent1 2 10 2 2 2" xfId="28623"/>
    <cellStyle name="40% - Accent1 2 10 2 3" xfId="20018"/>
    <cellStyle name="40% - Accent1 2 10 3" xfId="11836"/>
    <cellStyle name="40% - Accent1 2 10 3 2" xfId="25551"/>
    <cellStyle name="40% - Accent1 2 10 4" xfId="20017"/>
    <cellStyle name="40% - Accent1 2 11" xfId="2695"/>
    <cellStyle name="40% - Accent1 2 11 2" xfId="12676"/>
    <cellStyle name="40% - Accent1 2 11 2 2" xfId="26388"/>
    <cellStyle name="40% - Accent1 2 11 3" xfId="20019"/>
    <cellStyle name="40% - Accent1 2 12" xfId="2696"/>
    <cellStyle name="40% - Accent1 2 12 2" xfId="13436"/>
    <cellStyle name="40% - Accent1 2 12 2 2" xfId="26985"/>
    <cellStyle name="40% - Accent1 2 12 3" xfId="20020"/>
    <cellStyle name="40% - Accent1 2 13" xfId="2697"/>
    <cellStyle name="40% - Accent1 2 13 2" xfId="14017"/>
    <cellStyle name="40% - Accent1 2 13 2 2" xfId="27566"/>
    <cellStyle name="40% - Accent1 2 13 3" xfId="20021"/>
    <cellStyle name="40% - Accent1 2 14" xfId="2698"/>
    <cellStyle name="40% - Accent1 2 14 2" xfId="15073"/>
    <cellStyle name="40% - Accent1 2 14 2 2" xfId="28622"/>
    <cellStyle name="40% - Accent1 2 14 3" xfId="20022"/>
    <cellStyle name="40% - Accent1 2 15" xfId="2699"/>
    <cellStyle name="40% - Accent1 2 15 2" xfId="15903"/>
    <cellStyle name="40% - Accent1 2 15 2 2" xfId="29310"/>
    <cellStyle name="40% - Accent1 2 15 3" xfId="20023"/>
    <cellStyle name="40% - Accent1 2 16" xfId="9208"/>
    <cellStyle name="40% - Accent1 2 16 2" xfId="23683"/>
    <cellStyle name="40% - Accent1 2 17" xfId="20016"/>
    <cellStyle name="40% - Accent1 2 18" xfId="33063"/>
    <cellStyle name="40% - Accent1 2 2" xfId="2700"/>
    <cellStyle name="40% - Accent1 2 2 10" xfId="2701"/>
    <cellStyle name="40% - Accent1 2 2 10 2" xfId="15075"/>
    <cellStyle name="40% - Accent1 2 2 10 2 2" xfId="28624"/>
    <cellStyle name="40% - Accent1 2 2 10 3" xfId="20025"/>
    <cellStyle name="40% - Accent1 2 2 11" xfId="2702"/>
    <cellStyle name="40% - Accent1 2 2 11 2" xfId="15949"/>
    <cellStyle name="40% - Accent1 2 2 11 2 2" xfId="29356"/>
    <cellStyle name="40% - Accent1 2 2 11 3" xfId="20026"/>
    <cellStyle name="40% - Accent1 2 2 12" xfId="9209"/>
    <cellStyle name="40% - Accent1 2 2 12 2" xfId="23684"/>
    <cellStyle name="40% - Accent1 2 2 13" xfId="20024"/>
    <cellStyle name="40% - Accent1 2 2 2" xfId="2703"/>
    <cellStyle name="40% - Accent1 2 2 2 10" xfId="2704"/>
    <cellStyle name="40% - Accent1 2 2 2 10 2" xfId="16092"/>
    <cellStyle name="40% - Accent1 2 2 2 10 2 2" xfId="29499"/>
    <cellStyle name="40% - Accent1 2 2 2 10 3" xfId="20028"/>
    <cellStyle name="40% - Accent1 2 2 2 11" xfId="9210"/>
    <cellStyle name="40% - Accent1 2 2 2 11 2" xfId="23685"/>
    <cellStyle name="40% - Accent1 2 2 2 12" xfId="20027"/>
    <cellStyle name="40% - Accent1 2 2 2 2" xfId="2705"/>
    <cellStyle name="40% - Accent1 2 2 2 2 10" xfId="9211"/>
    <cellStyle name="40% - Accent1 2 2 2 2 10 2" xfId="23686"/>
    <cellStyle name="40% - Accent1 2 2 2 2 11" xfId="20029"/>
    <cellStyle name="40% - Accent1 2 2 2 2 2" xfId="2706"/>
    <cellStyle name="40% - Accent1 2 2 2 2 2 2" xfId="2707"/>
    <cellStyle name="40% - Accent1 2 2 2 2 2 2 2" xfId="10938"/>
    <cellStyle name="40% - Accent1 2 2 2 2 2 2 2 2" xfId="24880"/>
    <cellStyle name="40% - Accent1 2 2 2 2 2 2 3" xfId="20031"/>
    <cellStyle name="40% - Accent1 2 2 2 2 2 3" xfId="2708"/>
    <cellStyle name="40% - Accent1 2 2 2 2 2 3 2" xfId="12547"/>
    <cellStyle name="40% - Accent1 2 2 2 2 2 3 2 2" xfId="26259"/>
    <cellStyle name="40% - Accent1 2 2 2 2 2 3 3" xfId="20032"/>
    <cellStyle name="40% - Accent1 2 2 2 2 2 4" xfId="2709"/>
    <cellStyle name="40% - Accent1 2 2 2 2 2 4 2" xfId="15078"/>
    <cellStyle name="40% - Accent1 2 2 2 2 2 4 2 2" xfId="28627"/>
    <cellStyle name="40% - Accent1 2 2 2 2 2 4 3" xfId="20033"/>
    <cellStyle name="40% - Accent1 2 2 2 2 2 5" xfId="2710"/>
    <cellStyle name="40% - Accent1 2 2 2 2 2 5 2" xfId="16962"/>
    <cellStyle name="40% - Accent1 2 2 2 2 2 5 2 2" xfId="30369"/>
    <cellStyle name="40% - Accent1 2 2 2 2 2 5 3" xfId="20034"/>
    <cellStyle name="40% - Accent1 2 2 2 2 2 6" xfId="9212"/>
    <cellStyle name="40% - Accent1 2 2 2 2 2 6 2" xfId="23687"/>
    <cellStyle name="40% - Accent1 2 2 2 2 2 7" xfId="20030"/>
    <cellStyle name="40% - Accent1 2 2 2 2 3" xfId="2711"/>
    <cellStyle name="40% - Accent1 2 2 2 2 3 2" xfId="2712"/>
    <cellStyle name="40% - Accent1 2 2 2 2 3 2 2" xfId="15079"/>
    <cellStyle name="40% - Accent1 2 2 2 2 3 2 2 2" xfId="28628"/>
    <cellStyle name="40% - Accent1 2 2 2 2 3 2 3" xfId="20036"/>
    <cellStyle name="40% - Accent1 2 2 2 2 3 3" xfId="10937"/>
    <cellStyle name="40% - Accent1 2 2 2 2 3 3 2" xfId="24879"/>
    <cellStyle name="40% - Accent1 2 2 2 2 3 4" xfId="20035"/>
    <cellStyle name="40% - Accent1 2 2 2 2 4" xfId="2713"/>
    <cellStyle name="40% - Accent1 2 2 2 2 4 2" xfId="12350"/>
    <cellStyle name="40% - Accent1 2 2 2 2 4 2 2" xfId="26062"/>
    <cellStyle name="40% - Accent1 2 2 2 2 4 3" xfId="20037"/>
    <cellStyle name="40% - Accent1 2 2 2 2 5" xfId="2714"/>
    <cellStyle name="40% - Accent1 2 2 2 2 5 2" xfId="12598"/>
    <cellStyle name="40% - Accent1 2 2 2 2 5 2 2" xfId="26310"/>
    <cellStyle name="40% - Accent1 2 2 2 2 5 3" xfId="20038"/>
    <cellStyle name="40% - Accent1 2 2 2 2 6" xfId="2715"/>
    <cellStyle name="40% - Accent1 2 2 2 2 6 2" xfId="13914"/>
    <cellStyle name="40% - Accent1 2 2 2 2 6 2 2" xfId="27463"/>
    <cellStyle name="40% - Accent1 2 2 2 2 6 3" xfId="20039"/>
    <cellStyle name="40% - Accent1 2 2 2 2 7" xfId="2716"/>
    <cellStyle name="40% - Accent1 2 2 2 2 7 2" xfId="14495"/>
    <cellStyle name="40% - Accent1 2 2 2 2 7 2 2" xfId="28044"/>
    <cellStyle name="40% - Accent1 2 2 2 2 7 3" xfId="20040"/>
    <cellStyle name="40% - Accent1 2 2 2 2 8" xfId="2717"/>
    <cellStyle name="40% - Accent1 2 2 2 2 8 2" xfId="15077"/>
    <cellStyle name="40% - Accent1 2 2 2 2 8 2 2" xfId="28626"/>
    <cellStyle name="40% - Accent1 2 2 2 2 8 3" xfId="20041"/>
    <cellStyle name="40% - Accent1 2 2 2 2 9" xfId="2718"/>
    <cellStyle name="40% - Accent1 2 2 2 2 9 2" xfId="16381"/>
    <cellStyle name="40% - Accent1 2 2 2 2 9 2 2" xfId="29788"/>
    <cellStyle name="40% - Accent1 2 2 2 2 9 3" xfId="20042"/>
    <cellStyle name="40% - Accent1 2 2 2 3" xfId="2719"/>
    <cellStyle name="40% - Accent1 2 2 2 3 2" xfId="2720"/>
    <cellStyle name="40% - Accent1 2 2 2 3 2 2" xfId="10939"/>
    <cellStyle name="40% - Accent1 2 2 2 3 2 2 2" xfId="24881"/>
    <cellStyle name="40% - Accent1 2 2 2 3 2 3" xfId="20044"/>
    <cellStyle name="40% - Accent1 2 2 2 3 3" xfId="2721"/>
    <cellStyle name="40% - Accent1 2 2 2 3 3 2" xfId="12742"/>
    <cellStyle name="40% - Accent1 2 2 2 3 3 2 2" xfId="26454"/>
    <cellStyle name="40% - Accent1 2 2 2 3 3 3" xfId="20045"/>
    <cellStyle name="40% - Accent1 2 2 2 3 4" xfId="2722"/>
    <cellStyle name="40% - Accent1 2 2 2 3 4 2" xfId="15080"/>
    <cellStyle name="40% - Accent1 2 2 2 3 4 2 2" xfId="28629"/>
    <cellStyle name="40% - Accent1 2 2 2 3 4 3" xfId="20046"/>
    <cellStyle name="40% - Accent1 2 2 2 3 5" xfId="2723"/>
    <cellStyle name="40% - Accent1 2 2 2 3 5 2" xfId="16673"/>
    <cellStyle name="40% - Accent1 2 2 2 3 5 2 2" xfId="30080"/>
    <cellStyle name="40% - Accent1 2 2 2 3 5 3" xfId="20047"/>
    <cellStyle name="40% - Accent1 2 2 2 3 6" xfId="9213"/>
    <cellStyle name="40% - Accent1 2 2 2 3 6 2" xfId="23688"/>
    <cellStyle name="40% - Accent1 2 2 2 3 7" xfId="20043"/>
    <cellStyle name="40% - Accent1 2 2 2 4" xfId="2724"/>
    <cellStyle name="40% - Accent1 2 2 2 4 2" xfId="2725"/>
    <cellStyle name="40% - Accent1 2 2 2 4 2 2" xfId="15081"/>
    <cellStyle name="40% - Accent1 2 2 2 4 2 2 2" xfId="28630"/>
    <cellStyle name="40% - Accent1 2 2 2 4 2 3" xfId="20049"/>
    <cellStyle name="40% - Accent1 2 2 2 4 3" xfId="10936"/>
    <cellStyle name="40% - Accent1 2 2 2 4 3 2" xfId="24878"/>
    <cellStyle name="40% - Accent1 2 2 2 4 4" xfId="20048"/>
    <cellStyle name="40% - Accent1 2 2 2 5" xfId="2726"/>
    <cellStyle name="40% - Accent1 2 2 2 5 2" xfId="12050"/>
    <cellStyle name="40% - Accent1 2 2 2 5 2 2" xfId="25765"/>
    <cellStyle name="40% - Accent1 2 2 2 5 3" xfId="20050"/>
    <cellStyle name="40% - Accent1 2 2 2 6" xfId="2727"/>
    <cellStyle name="40% - Accent1 2 2 2 6 2" xfId="12485"/>
    <cellStyle name="40% - Accent1 2 2 2 6 2 2" xfId="26197"/>
    <cellStyle name="40% - Accent1 2 2 2 6 3" xfId="20051"/>
    <cellStyle name="40% - Accent1 2 2 2 7" xfId="2728"/>
    <cellStyle name="40% - Accent1 2 2 2 7 2" xfId="13625"/>
    <cellStyle name="40% - Accent1 2 2 2 7 2 2" xfId="27174"/>
    <cellStyle name="40% - Accent1 2 2 2 7 3" xfId="20052"/>
    <cellStyle name="40% - Accent1 2 2 2 8" xfId="2729"/>
    <cellStyle name="40% - Accent1 2 2 2 8 2" xfId="14206"/>
    <cellStyle name="40% - Accent1 2 2 2 8 2 2" xfId="27755"/>
    <cellStyle name="40% - Accent1 2 2 2 8 3" xfId="20053"/>
    <cellStyle name="40% - Accent1 2 2 2 9" xfId="2730"/>
    <cellStyle name="40% - Accent1 2 2 2 9 2" xfId="15076"/>
    <cellStyle name="40% - Accent1 2 2 2 9 2 2" xfId="28625"/>
    <cellStyle name="40% - Accent1 2 2 2 9 3" xfId="20054"/>
    <cellStyle name="40% - Accent1 2 2 3" xfId="2731"/>
    <cellStyle name="40% - Accent1 2 2 3 10" xfId="9214"/>
    <cellStyle name="40% - Accent1 2 2 3 10 2" xfId="23689"/>
    <cellStyle name="40% - Accent1 2 2 3 11" xfId="20055"/>
    <cellStyle name="40% - Accent1 2 2 3 2" xfId="2732"/>
    <cellStyle name="40% - Accent1 2 2 3 2 2" xfId="2733"/>
    <cellStyle name="40% - Accent1 2 2 3 2 2 2" xfId="10941"/>
    <cellStyle name="40% - Accent1 2 2 3 2 2 2 2" xfId="24883"/>
    <cellStyle name="40% - Accent1 2 2 3 2 2 3" xfId="20057"/>
    <cellStyle name="40% - Accent1 2 2 3 2 3" xfId="2734"/>
    <cellStyle name="40% - Accent1 2 2 3 2 3 2" xfId="12659"/>
    <cellStyle name="40% - Accent1 2 2 3 2 3 2 2" xfId="26371"/>
    <cellStyle name="40% - Accent1 2 2 3 2 3 3" xfId="20058"/>
    <cellStyle name="40% - Accent1 2 2 3 2 4" xfId="2735"/>
    <cellStyle name="40% - Accent1 2 2 3 2 4 2" xfId="15083"/>
    <cellStyle name="40% - Accent1 2 2 3 2 4 2 2" xfId="28632"/>
    <cellStyle name="40% - Accent1 2 2 3 2 4 3" xfId="20059"/>
    <cellStyle name="40% - Accent1 2 2 3 2 5" xfId="2736"/>
    <cellStyle name="40% - Accent1 2 2 3 2 5 2" xfId="16819"/>
    <cellStyle name="40% - Accent1 2 2 3 2 5 2 2" xfId="30226"/>
    <cellStyle name="40% - Accent1 2 2 3 2 5 3" xfId="20060"/>
    <cellStyle name="40% - Accent1 2 2 3 2 6" xfId="9215"/>
    <cellStyle name="40% - Accent1 2 2 3 2 6 2" xfId="23690"/>
    <cellStyle name="40% - Accent1 2 2 3 2 7" xfId="20056"/>
    <cellStyle name="40% - Accent1 2 2 3 3" xfId="2737"/>
    <cellStyle name="40% - Accent1 2 2 3 3 2" xfId="2738"/>
    <cellStyle name="40% - Accent1 2 2 3 3 2 2" xfId="15084"/>
    <cellStyle name="40% - Accent1 2 2 3 3 2 2 2" xfId="28633"/>
    <cellStyle name="40% - Accent1 2 2 3 3 2 3" xfId="20062"/>
    <cellStyle name="40% - Accent1 2 2 3 3 3" xfId="10940"/>
    <cellStyle name="40% - Accent1 2 2 3 3 3 2" xfId="24882"/>
    <cellStyle name="40% - Accent1 2 2 3 3 4" xfId="20061"/>
    <cellStyle name="40% - Accent1 2 2 3 4" xfId="2739"/>
    <cellStyle name="40% - Accent1 2 2 3 4 2" xfId="12207"/>
    <cellStyle name="40% - Accent1 2 2 3 4 2 2" xfId="25919"/>
    <cellStyle name="40% - Accent1 2 2 3 4 3" xfId="20063"/>
    <cellStyle name="40% - Accent1 2 2 3 5" xfId="2740"/>
    <cellStyle name="40% - Accent1 2 2 3 5 2" xfId="11790"/>
    <cellStyle name="40% - Accent1 2 2 3 5 2 2" xfId="25505"/>
    <cellStyle name="40% - Accent1 2 2 3 5 3" xfId="20064"/>
    <cellStyle name="40% - Accent1 2 2 3 6" xfId="2741"/>
    <cellStyle name="40% - Accent1 2 2 3 6 2" xfId="13771"/>
    <cellStyle name="40% - Accent1 2 2 3 6 2 2" xfId="27320"/>
    <cellStyle name="40% - Accent1 2 2 3 6 3" xfId="20065"/>
    <cellStyle name="40% - Accent1 2 2 3 7" xfId="2742"/>
    <cellStyle name="40% - Accent1 2 2 3 7 2" xfId="14352"/>
    <cellStyle name="40% - Accent1 2 2 3 7 2 2" xfId="27901"/>
    <cellStyle name="40% - Accent1 2 2 3 7 3" xfId="20066"/>
    <cellStyle name="40% - Accent1 2 2 3 8" xfId="2743"/>
    <cellStyle name="40% - Accent1 2 2 3 8 2" xfId="15082"/>
    <cellStyle name="40% - Accent1 2 2 3 8 2 2" xfId="28631"/>
    <cellStyle name="40% - Accent1 2 2 3 8 3" xfId="20067"/>
    <cellStyle name="40% - Accent1 2 2 3 9" xfId="2744"/>
    <cellStyle name="40% - Accent1 2 2 3 9 2" xfId="16238"/>
    <cellStyle name="40% - Accent1 2 2 3 9 2 2" xfId="29645"/>
    <cellStyle name="40% - Accent1 2 2 3 9 3" xfId="20068"/>
    <cellStyle name="40% - Accent1 2 2 4" xfId="2745"/>
    <cellStyle name="40% - Accent1 2 2 4 2" xfId="2746"/>
    <cellStyle name="40% - Accent1 2 2 4 2 2" xfId="10942"/>
    <cellStyle name="40% - Accent1 2 2 4 2 2 2" xfId="24884"/>
    <cellStyle name="40% - Accent1 2 2 4 2 3" xfId="20070"/>
    <cellStyle name="40% - Accent1 2 2 4 3" xfId="2747"/>
    <cellStyle name="40% - Accent1 2 2 4 3 2" xfId="11869"/>
    <cellStyle name="40% - Accent1 2 2 4 3 2 2" xfId="25584"/>
    <cellStyle name="40% - Accent1 2 2 4 3 3" xfId="20071"/>
    <cellStyle name="40% - Accent1 2 2 4 4" xfId="2748"/>
    <cellStyle name="40% - Accent1 2 2 4 4 2" xfId="15085"/>
    <cellStyle name="40% - Accent1 2 2 4 4 2 2" xfId="28634"/>
    <cellStyle name="40% - Accent1 2 2 4 4 3" xfId="20072"/>
    <cellStyle name="40% - Accent1 2 2 4 5" xfId="2749"/>
    <cellStyle name="40% - Accent1 2 2 4 5 2" xfId="17166"/>
    <cellStyle name="40% - Accent1 2 2 4 5 2 2" xfId="30525"/>
    <cellStyle name="40% - Accent1 2 2 4 5 3" xfId="20073"/>
    <cellStyle name="40% - Accent1 2 2 4 6" xfId="9216"/>
    <cellStyle name="40% - Accent1 2 2 4 6 2" xfId="23691"/>
    <cellStyle name="40% - Accent1 2 2 4 7" xfId="20069"/>
    <cellStyle name="40% - Accent1 2 2 5" xfId="2750"/>
    <cellStyle name="40% - Accent1 2 2 5 2" xfId="2751"/>
    <cellStyle name="40% - Accent1 2 2 5 2 2" xfId="15086"/>
    <cellStyle name="40% - Accent1 2 2 5 2 2 2" xfId="28635"/>
    <cellStyle name="40% - Accent1 2 2 5 2 3" xfId="20075"/>
    <cellStyle name="40% - Accent1 2 2 5 3" xfId="2752"/>
    <cellStyle name="40% - Accent1 2 2 5 3 2" xfId="17255"/>
    <cellStyle name="40% - Accent1 2 2 5 3 2 2" xfId="30614"/>
    <cellStyle name="40% - Accent1 2 2 5 3 3" xfId="20076"/>
    <cellStyle name="40% - Accent1 2 2 5 4" xfId="10935"/>
    <cellStyle name="40% - Accent1 2 2 5 4 2" xfId="24877"/>
    <cellStyle name="40% - Accent1 2 2 5 5" xfId="20074"/>
    <cellStyle name="40% - Accent1 2 2 6" xfId="2753"/>
    <cellStyle name="40% - Accent1 2 2 6 2" xfId="2754"/>
    <cellStyle name="40% - Accent1 2 2 6 2 2" xfId="16530"/>
    <cellStyle name="40% - Accent1 2 2 6 2 2 2" xfId="29937"/>
    <cellStyle name="40% - Accent1 2 2 6 2 3" xfId="20078"/>
    <cellStyle name="40% - Accent1 2 2 6 3" xfId="11905"/>
    <cellStyle name="40% - Accent1 2 2 6 3 2" xfId="25620"/>
    <cellStyle name="40% - Accent1 2 2 6 4" xfId="20077"/>
    <cellStyle name="40% - Accent1 2 2 7" xfId="2755"/>
    <cellStyle name="40% - Accent1 2 2 7 2" xfId="11870"/>
    <cellStyle name="40% - Accent1 2 2 7 2 2" xfId="25585"/>
    <cellStyle name="40% - Accent1 2 2 7 3" xfId="20079"/>
    <cellStyle name="40% - Accent1 2 2 8" xfId="2756"/>
    <cellStyle name="40% - Accent1 2 2 8 2" xfId="13482"/>
    <cellStyle name="40% - Accent1 2 2 8 2 2" xfId="27031"/>
    <cellStyle name="40% - Accent1 2 2 8 3" xfId="20080"/>
    <cellStyle name="40% - Accent1 2 2 9" xfId="2757"/>
    <cellStyle name="40% - Accent1 2 2 9 2" xfId="14063"/>
    <cellStyle name="40% - Accent1 2 2 9 2 2" xfId="27612"/>
    <cellStyle name="40% - Accent1 2 2 9 3" xfId="20081"/>
    <cellStyle name="40% - Accent1 2 3" xfId="2758"/>
    <cellStyle name="40% - Accent1 2 3 10" xfId="2759"/>
    <cellStyle name="40% - Accent1 2 3 10 2" xfId="16046"/>
    <cellStyle name="40% - Accent1 2 3 10 2 2" xfId="29453"/>
    <cellStyle name="40% - Accent1 2 3 10 3" xfId="20083"/>
    <cellStyle name="40% - Accent1 2 3 11" xfId="9217"/>
    <cellStyle name="40% - Accent1 2 3 11 2" xfId="23692"/>
    <cellStyle name="40% - Accent1 2 3 12" xfId="20082"/>
    <cellStyle name="40% - Accent1 2 3 2" xfId="2760"/>
    <cellStyle name="40% - Accent1 2 3 2 10" xfId="9218"/>
    <cellStyle name="40% - Accent1 2 3 2 10 2" xfId="23693"/>
    <cellStyle name="40% - Accent1 2 3 2 11" xfId="20084"/>
    <cellStyle name="40% - Accent1 2 3 2 2" xfId="2761"/>
    <cellStyle name="40% - Accent1 2 3 2 2 2" xfId="2762"/>
    <cellStyle name="40% - Accent1 2 3 2 2 2 2" xfId="10945"/>
    <cellStyle name="40% - Accent1 2 3 2 2 2 2 2" xfId="24887"/>
    <cellStyle name="40% - Accent1 2 3 2 2 2 3" xfId="20086"/>
    <cellStyle name="40% - Accent1 2 3 2 2 3" xfId="2763"/>
    <cellStyle name="40% - Accent1 2 3 2 2 3 2" xfId="11792"/>
    <cellStyle name="40% - Accent1 2 3 2 2 3 2 2" xfId="25507"/>
    <cellStyle name="40% - Accent1 2 3 2 2 3 3" xfId="20087"/>
    <cellStyle name="40% - Accent1 2 3 2 2 4" xfId="2764"/>
    <cellStyle name="40% - Accent1 2 3 2 2 4 2" xfId="15089"/>
    <cellStyle name="40% - Accent1 2 3 2 2 4 2 2" xfId="28638"/>
    <cellStyle name="40% - Accent1 2 3 2 2 4 3" xfId="20088"/>
    <cellStyle name="40% - Accent1 2 3 2 2 5" xfId="2765"/>
    <cellStyle name="40% - Accent1 2 3 2 2 5 2" xfId="16916"/>
    <cellStyle name="40% - Accent1 2 3 2 2 5 2 2" xfId="30323"/>
    <cellStyle name="40% - Accent1 2 3 2 2 5 3" xfId="20089"/>
    <cellStyle name="40% - Accent1 2 3 2 2 6" xfId="9219"/>
    <cellStyle name="40% - Accent1 2 3 2 2 6 2" xfId="23694"/>
    <cellStyle name="40% - Accent1 2 3 2 2 7" xfId="20085"/>
    <cellStyle name="40% - Accent1 2 3 2 3" xfId="2766"/>
    <cellStyle name="40% - Accent1 2 3 2 3 2" xfId="2767"/>
    <cellStyle name="40% - Accent1 2 3 2 3 2 2" xfId="15090"/>
    <cellStyle name="40% - Accent1 2 3 2 3 2 2 2" xfId="28639"/>
    <cellStyle name="40% - Accent1 2 3 2 3 2 3" xfId="20091"/>
    <cellStyle name="40% - Accent1 2 3 2 3 3" xfId="10944"/>
    <cellStyle name="40% - Accent1 2 3 2 3 3 2" xfId="24886"/>
    <cellStyle name="40% - Accent1 2 3 2 3 4" xfId="20090"/>
    <cellStyle name="40% - Accent1 2 3 2 4" xfId="2768"/>
    <cellStyle name="40% - Accent1 2 3 2 4 2" xfId="12304"/>
    <cellStyle name="40% - Accent1 2 3 2 4 2 2" xfId="26016"/>
    <cellStyle name="40% - Accent1 2 3 2 4 3" xfId="20092"/>
    <cellStyle name="40% - Accent1 2 3 2 5" xfId="2769"/>
    <cellStyle name="40% - Accent1 2 3 2 5 2" xfId="12616"/>
    <cellStyle name="40% - Accent1 2 3 2 5 2 2" xfId="26328"/>
    <cellStyle name="40% - Accent1 2 3 2 5 3" xfId="20093"/>
    <cellStyle name="40% - Accent1 2 3 2 6" xfId="2770"/>
    <cellStyle name="40% - Accent1 2 3 2 6 2" xfId="13868"/>
    <cellStyle name="40% - Accent1 2 3 2 6 2 2" xfId="27417"/>
    <cellStyle name="40% - Accent1 2 3 2 6 3" xfId="20094"/>
    <cellStyle name="40% - Accent1 2 3 2 7" xfId="2771"/>
    <cellStyle name="40% - Accent1 2 3 2 7 2" xfId="14449"/>
    <cellStyle name="40% - Accent1 2 3 2 7 2 2" xfId="27998"/>
    <cellStyle name="40% - Accent1 2 3 2 7 3" xfId="20095"/>
    <cellStyle name="40% - Accent1 2 3 2 8" xfId="2772"/>
    <cellStyle name="40% - Accent1 2 3 2 8 2" xfId="15088"/>
    <cellStyle name="40% - Accent1 2 3 2 8 2 2" xfId="28637"/>
    <cellStyle name="40% - Accent1 2 3 2 8 3" xfId="20096"/>
    <cellStyle name="40% - Accent1 2 3 2 9" xfId="2773"/>
    <cellStyle name="40% - Accent1 2 3 2 9 2" xfId="16335"/>
    <cellStyle name="40% - Accent1 2 3 2 9 2 2" xfId="29742"/>
    <cellStyle name="40% - Accent1 2 3 2 9 3" xfId="20097"/>
    <cellStyle name="40% - Accent1 2 3 3" xfId="2774"/>
    <cellStyle name="40% - Accent1 2 3 3 2" xfId="2775"/>
    <cellStyle name="40% - Accent1 2 3 3 2 2" xfId="10946"/>
    <cellStyle name="40% - Accent1 2 3 3 2 2 2" xfId="24888"/>
    <cellStyle name="40% - Accent1 2 3 3 2 3" xfId="20099"/>
    <cellStyle name="40% - Accent1 2 3 3 3" xfId="2776"/>
    <cellStyle name="40% - Accent1 2 3 3 3 2" xfId="12587"/>
    <cellStyle name="40% - Accent1 2 3 3 3 2 2" xfId="26299"/>
    <cellStyle name="40% - Accent1 2 3 3 3 3" xfId="20100"/>
    <cellStyle name="40% - Accent1 2 3 3 4" xfId="2777"/>
    <cellStyle name="40% - Accent1 2 3 3 4 2" xfId="15091"/>
    <cellStyle name="40% - Accent1 2 3 3 4 2 2" xfId="28640"/>
    <cellStyle name="40% - Accent1 2 3 3 4 3" xfId="20101"/>
    <cellStyle name="40% - Accent1 2 3 3 5" xfId="2778"/>
    <cellStyle name="40% - Accent1 2 3 3 5 2" xfId="16627"/>
    <cellStyle name="40% - Accent1 2 3 3 5 2 2" xfId="30034"/>
    <cellStyle name="40% - Accent1 2 3 3 5 3" xfId="20102"/>
    <cellStyle name="40% - Accent1 2 3 3 6" xfId="9220"/>
    <cellStyle name="40% - Accent1 2 3 3 6 2" xfId="23695"/>
    <cellStyle name="40% - Accent1 2 3 3 7" xfId="20098"/>
    <cellStyle name="40% - Accent1 2 3 4" xfId="2779"/>
    <cellStyle name="40% - Accent1 2 3 4 2" xfId="2780"/>
    <cellStyle name="40% - Accent1 2 3 4 2 2" xfId="15092"/>
    <cellStyle name="40% - Accent1 2 3 4 2 2 2" xfId="28641"/>
    <cellStyle name="40% - Accent1 2 3 4 2 3" xfId="20104"/>
    <cellStyle name="40% - Accent1 2 3 4 3" xfId="10943"/>
    <cellStyle name="40% - Accent1 2 3 4 3 2" xfId="24885"/>
    <cellStyle name="40% - Accent1 2 3 4 4" xfId="20103"/>
    <cellStyle name="40% - Accent1 2 3 5" xfId="2781"/>
    <cellStyle name="40% - Accent1 2 3 5 2" xfId="12004"/>
    <cellStyle name="40% - Accent1 2 3 5 2 2" xfId="25719"/>
    <cellStyle name="40% - Accent1 2 3 5 3" xfId="20105"/>
    <cellStyle name="40% - Accent1 2 3 6" xfId="2782"/>
    <cellStyle name="40% - Accent1 2 3 6 2" xfId="12109"/>
    <cellStyle name="40% - Accent1 2 3 6 2 2" xfId="25821"/>
    <cellStyle name="40% - Accent1 2 3 6 3" xfId="20106"/>
    <cellStyle name="40% - Accent1 2 3 7" xfId="2783"/>
    <cellStyle name="40% - Accent1 2 3 7 2" xfId="13579"/>
    <cellStyle name="40% - Accent1 2 3 7 2 2" xfId="27128"/>
    <cellStyle name="40% - Accent1 2 3 7 3" xfId="20107"/>
    <cellStyle name="40% - Accent1 2 3 8" xfId="2784"/>
    <cellStyle name="40% - Accent1 2 3 8 2" xfId="14160"/>
    <cellStyle name="40% - Accent1 2 3 8 2 2" xfId="27709"/>
    <cellStyle name="40% - Accent1 2 3 8 3" xfId="20108"/>
    <cellStyle name="40% - Accent1 2 3 9" xfId="2785"/>
    <cellStyle name="40% - Accent1 2 3 9 2" xfId="15087"/>
    <cellStyle name="40% - Accent1 2 3 9 2 2" xfId="28636"/>
    <cellStyle name="40% - Accent1 2 3 9 3" xfId="20109"/>
    <cellStyle name="40% - Accent1 2 4" xfId="2786"/>
    <cellStyle name="40% - Accent1 2 4 10" xfId="9221"/>
    <cellStyle name="40% - Accent1 2 4 10 2" xfId="23696"/>
    <cellStyle name="40% - Accent1 2 4 11" xfId="20110"/>
    <cellStyle name="40% - Accent1 2 4 2" xfId="2787"/>
    <cellStyle name="40% - Accent1 2 4 2 2" xfId="2788"/>
    <cellStyle name="40% - Accent1 2 4 2 2 2" xfId="10948"/>
    <cellStyle name="40% - Accent1 2 4 2 2 2 2" xfId="24890"/>
    <cellStyle name="40% - Accent1 2 4 2 2 3" xfId="20112"/>
    <cellStyle name="40% - Accent1 2 4 2 3" xfId="2789"/>
    <cellStyle name="40% - Accent1 2 4 2 3 2" xfId="12599"/>
    <cellStyle name="40% - Accent1 2 4 2 3 2 2" xfId="26311"/>
    <cellStyle name="40% - Accent1 2 4 2 3 3" xfId="20113"/>
    <cellStyle name="40% - Accent1 2 4 2 4" xfId="2790"/>
    <cellStyle name="40% - Accent1 2 4 2 4 2" xfId="15094"/>
    <cellStyle name="40% - Accent1 2 4 2 4 2 2" xfId="28643"/>
    <cellStyle name="40% - Accent1 2 4 2 4 3" xfId="20114"/>
    <cellStyle name="40% - Accent1 2 4 2 5" xfId="2791"/>
    <cellStyle name="40% - Accent1 2 4 2 5 2" xfId="16773"/>
    <cellStyle name="40% - Accent1 2 4 2 5 2 2" xfId="30180"/>
    <cellStyle name="40% - Accent1 2 4 2 5 3" xfId="20115"/>
    <cellStyle name="40% - Accent1 2 4 2 6" xfId="9222"/>
    <cellStyle name="40% - Accent1 2 4 2 6 2" xfId="23697"/>
    <cellStyle name="40% - Accent1 2 4 2 7" xfId="20111"/>
    <cellStyle name="40% - Accent1 2 4 3" xfId="2792"/>
    <cellStyle name="40% - Accent1 2 4 3 2" xfId="2793"/>
    <cellStyle name="40% - Accent1 2 4 3 2 2" xfId="15095"/>
    <cellStyle name="40% - Accent1 2 4 3 2 2 2" xfId="28644"/>
    <cellStyle name="40% - Accent1 2 4 3 2 3" xfId="20117"/>
    <cellStyle name="40% - Accent1 2 4 3 3" xfId="10947"/>
    <cellStyle name="40% - Accent1 2 4 3 3 2" xfId="24889"/>
    <cellStyle name="40% - Accent1 2 4 3 4" xfId="20116"/>
    <cellStyle name="40% - Accent1 2 4 4" xfId="2794"/>
    <cellStyle name="40% - Accent1 2 4 4 2" xfId="12161"/>
    <cellStyle name="40% - Accent1 2 4 4 2 2" xfId="25873"/>
    <cellStyle name="40% - Accent1 2 4 4 3" xfId="20118"/>
    <cellStyle name="40% - Accent1 2 4 5" xfId="2795"/>
    <cellStyle name="40% - Accent1 2 4 5 2" xfId="12796"/>
    <cellStyle name="40% - Accent1 2 4 5 2 2" xfId="26508"/>
    <cellStyle name="40% - Accent1 2 4 5 3" xfId="20119"/>
    <cellStyle name="40% - Accent1 2 4 6" xfId="2796"/>
    <cellStyle name="40% - Accent1 2 4 6 2" xfId="13725"/>
    <cellStyle name="40% - Accent1 2 4 6 2 2" xfId="27274"/>
    <cellStyle name="40% - Accent1 2 4 6 3" xfId="20120"/>
    <cellStyle name="40% - Accent1 2 4 7" xfId="2797"/>
    <cellStyle name="40% - Accent1 2 4 7 2" xfId="14306"/>
    <cellStyle name="40% - Accent1 2 4 7 2 2" xfId="27855"/>
    <cellStyle name="40% - Accent1 2 4 7 3" xfId="20121"/>
    <cellStyle name="40% - Accent1 2 4 8" xfId="2798"/>
    <cellStyle name="40% - Accent1 2 4 8 2" xfId="15093"/>
    <cellStyle name="40% - Accent1 2 4 8 2 2" xfId="28642"/>
    <cellStyle name="40% - Accent1 2 4 8 3" xfId="20122"/>
    <cellStyle name="40% - Accent1 2 4 9" xfId="2799"/>
    <cellStyle name="40% - Accent1 2 4 9 2" xfId="16192"/>
    <cellStyle name="40% - Accent1 2 4 9 2 2" xfId="29599"/>
    <cellStyle name="40% - Accent1 2 4 9 3" xfId="20123"/>
    <cellStyle name="40% - Accent1 2 5" xfId="2800"/>
    <cellStyle name="40% - Accent1 2 5 2" xfId="2801"/>
    <cellStyle name="40% - Accent1 2 5 2 2" xfId="2802"/>
    <cellStyle name="40% - Accent1 2 5 2 2 2" xfId="10950"/>
    <cellStyle name="40% - Accent1 2 5 2 2 2 2" xfId="24892"/>
    <cellStyle name="40% - Accent1 2 5 2 2 3" xfId="20126"/>
    <cellStyle name="40% - Accent1 2 5 2 3" xfId="2803"/>
    <cellStyle name="40% - Accent1 2 5 2 3 2" xfId="11772"/>
    <cellStyle name="40% - Accent1 2 5 2 3 2 2" xfId="25487"/>
    <cellStyle name="40% - Accent1 2 5 2 3 3" xfId="20127"/>
    <cellStyle name="40% - Accent1 2 5 2 4" xfId="2804"/>
    <cellStyle name="40% - Accent1 2 5 2 4 2" xfId="15097"/>
    <cellStyle name="40% - Accent1 2 5 2 4 2 2" xfId="28646"/>
    <cellStyle name="40% - Accent1 2 5 2 4 3" xfId="20128"/>
    <cellStyle name="40% - Accent1 2 5 2 5" xfId="9224"/>
    <cellStyle name="40% - Accent1 2 5 2 5 2" xfId="23699"/>
    <cellStyle name="40% - Accent1 2 5 2 6" xfId="20125"/>
    <cellStyle name="40% - Accent1 2 5 3" xfId="2805"/>
    <cellStyle name="40% - Accent1 2 5 3 2" xfId="10949"/>
    <cellStyle name="40% - Accent1 2 5 3 2 2" xfId="24891"/>
    <cellStyle name="40% - Accent1 2 5 3 3" xfId="20129"/>
    <cellStyle name="40% - Accent1 2 5 4" xfId="2806"/>
    <cellStyle name="40% - Accent1 2 5 4 2" xfId="12398"/>
    <cellStyle name="40% - Accent1 2 5 4 2 2" xfId="26110"/>
    <cellStyle name="40% - Accent1 2 5 4 3" xfId="20130"/>
    <cellStyle name="40% - Accent1 2 5 5" xfId="2807"/>
    <cellStyle name="40% - Accent1 2 5 5 2" xfId="15096"/>
    <cellStyle name="40% - Accent1 2 5 5 2 2" xfId="28645"/>
    <cellStyle name="40% - Accent1 2 5 5 3" xfId="20131"/>
    <cellStyle name="40% - Accent1 2 5 6" xfId="2808"/>
    <cellStyle name="40% - Accent1 2 5 6 2" xfId="17013"/>
    <cellStyle name="40% - Accent1 2 5 6 2 2" xfId="30420"/>
    <cellStyle name="40% - Accent1 2 5 6 3" xfId="20132"/>
    <cellStyle name="40% - Accent1 2 5 7" xfId="9223"/>
    <cellStyle name="40% - Accent1 2 5 7 2" xfId="23698"/>
    <cellStyle name="40% - Accent1 2 5 8" xfId="20124"/>
    <cellStyle name="40% - Accent1 2 6" xfId="2809"/>
    <cellStyle name="40% - Accent1 2 6 2" xfId="2810"/>
    <cellStyle name="40% - Accent1 2 6 2 2" xfId="10951"/>
    <cellStyle name="40% - Accent1 2 6 2 2 2" xfId="24893"/>
    <cellStyle name="40% - Accent1 2 6 2 3" xfId="20134"/>
    <cellStyle name="40% - Accent1 2 6 3" xfId="2811"/>
    <cellStyle name="40% - Accent1 2 6 3 2" xfId="12515"/>
    <cellStyle name="40% - Accent1 2 6 3 2 2" xfId="26227"/>
    <cellStyle name="40% - Accent1 2 6 3 3" xfId="20135"/>
    <cellStyle name="40% - Accent1 2 6 4" xfId="2812"/>
    <cellStyle name="40% - Accent1 2 6 4 2" xfId="15098"/>
    <cellStyle name="40% - Accent1 2 6 4 2 2" xfId="28647"/>
    <cellStyle name="40% - Accent1 2 6 4 3" xfId="20136"/>
    <cellStyle name="40% - Accent1 2 6 5" xfId="2813"/>
    <cellStyle name="40% - Accent1 2 6 5 2" xfId="17120"/>
    <cellStyle name="40% - Accent1 2 6 5 2 2" xfId="30479"/>
    <cellStyle name="40% - Accent1 2 6 5 3" xfId="20137"/>
    <cellStyle name="40% - Accent1 2 6 6" xfId="9225"/>
    <cellStyle name="40% - Accent1 2 6 6 2" xfId="23700"/>
    <cellStyle name="40% - Accent1 2 6 7" xfId="20133"/>
    <cellStyle name="40% - Accent1 2 7" xfId="2814"/>
    <cellStyle name="40% - Accent1 2 7 2" xfId="2815"/>
    <cellStyle name="40% - Accent1 2 7 2 2" xfId="10952"/>
    <cellStyle name="40% - Accent1 2 7 2 2 2" xfId="24894"/>
    <cellStyle name="40% - Accent1 2 7 2 3" xfId="20139"/>
    <cellStyle name="40% - Accent1 2 7 3" xfId="2816"/>
    <cellStyle name="40% - Accent1 2 7 3 2" xfId="12511"/>
    <cellStyle name="40% - Accent1 2 7 3 2 2" xfId="26223"/>
    <cellStyle name="40% - Accent1 2 7 3 3" xfId="20140"/>
    <cellStyle name="40% - Accent1 2 7 4" xfId="2817"/>
    <cellStyle name="40% - Accent1 2 7 4 2" xfId="15099"/>
    <cellStyle name="40% - Accent1 2 7 4 2 2" xfId="28648"/>
    <cellStyle name="40% - Accent1 2 7 4 3" xfId="20141"/>
    <cellStyle name="40% - Accent1 2 7 5" xfId="2818"/>
    <cellStyle name="40% - Accent1 2 7 5 2" xfId="17209"/>
    <cellStyle name="40% - Accent1 2 7 5 2 2" xfId="30568"/>
    <cellStyle name="40% - Accent1 2 7 5 3" xfId="20142"/>
    <cellStyle name="40% - Accent1 2 7 6" xfId="9226"/>
    <cellStyle name="40% - Accent1 2 7 6 2" xfId="23701"/>
    <cellStyle name="40% - Accent1 2 7 7" xfId="20138"/>
    <cellStyle name="40% - Accent1 2 8" xfId="2819"/>
    <cellStyle name="40% - Accent1 2 8 2" xfId="2820"/>
    <cellStyle name="40% - Accent1 2 8 2 2" xfId="12664"/>
    <cellStyle name="40% - Accent1 2 8 2 2 2" xfId="26376"/>
    <cellStyle name="40% - Accent1 2 8 2 3" xfId="20144"/>
    <cellStyle name="40% - Accent1 2 8 3" xfId="2821"/>
    <cellStyle name="40% - Accent1 2 8 3 2" xfId="15100"/>
    <cellStyle name="40% - Accent1 2 8 3 2 2" xfId="28649"/>
    <cellStyle name="40% - Accent1 2 8 3 3" xfId="20145"/>
    <cellStyle name="40% - Accent1 2 8 4" xfId="2822"/>
    <cellStyle name="40% - Accent1 2 8 4 2" xfId="16484"/>
    <cellStyle name="40% - Accent1 2 8 4 2 2" xfId="29891"/>
    <cellStyle name="40% - Accent1 2 8 4 3" xfId="20146"/>
    <cellStyle name="40% - Accent1 2 8 5" xfId="10534"/>
    <cellStyle name="40% - Accent1 2 8 5 2" xfId="24476"/>
    <cellStyle name="40% - Accent1 2 8 6" xfId="20143"/>
    <cellStyle name="40% - Accent1 2 9" xfId="2823"/>
    <cellStyle name="40% - Accent1 2 9 2" xfId="2824"/>
    <cellStyle name="40% - Accent1 2 9 2 2" xfId="11765"/>
    <cellStyle name="40% - Accent1 2 9 2 2 2" xfId="25480"/>
    <cellStyle name="40% - Accent1 2 9 2 3" xfId="20148"/>
    <cellStyle name="40% - Accent1 2 9 3" xfId="2825"/>
    <cellStyle name="40% - Accent1 2 9 3 2" xfId="15101"/>
    <cellStyle name="40% - Accent1 2 9 3 2 2" xfId="28650"/>
    <cellStyle name="40% - Accent1 2 9 3 3" xfId="20149"/>
    <cellStyle name="40% - Accent1 2 9 4" xfId="10934"/>
    <cellStyle name="40% - Accent1 2 9 4 2" xfId="24876"/>
    <cellStyle name="40% - Accent1 2 9 5" xfId="20147"/>
    <cellStyle name="40% - Accent1 20" xfId="2826"/>
    <cellStyle name="40% - Accent1 20 2" xfId="2827"/>
    <cellStyle name="40% - Accent1 20 2 2" xfId="12486"/>
    <cellStyle name="40% - Accent1 20 2 2 2" xfId="26198"/>
    <cellStyle name="40% - Accent1 20 2 3" xfId="20151"/>
    <cellStyle name="40% - Accent1 20 3" xfId="2828"/>
    <cellStyle name="40% - Accent1 20 3 2" xfId="15102"/>
    <cellStyle name="40% - Accent1 20 3 2 2" xfId="28651"/>
    <cellStyle name="40% - Accent1 20 3 3" xfId="20152"/>
    <cellStyle name="40% - Accent1 20 4" xfId="10509"/>
    <cellStyle name="40% - Accent1 20 4 2" xfId="24457"/>
    <cellStyle name="40% - Accent1 20 5" xfId="20150"/>
    <cellStyle name="40% - Accent1 21" xfId="2829"/>
    <cellStyle name="40% - Accent1 21 2" xfId="2830"/>
    <cellStyle name="40% - Accent1 21 2 2" xfId="12487"/>
    <cellStyle name="40% - Accent1 21 2 2 2" xfId="26199"/>
    <cellStyle name="40% - Accent1 21 2 3" xfId="20154"/>
    <cellStyle name="40% - Accent1 21 3" xfId="2831"/>
    <cellStyle name="40% - Accent1 21 3 2" xfId="15103"/>
    <cellStyle name="40% - Accent1 21 3 2 2" xfId="28652"/>
    <cellStyle name="40% - Accent1 21 3 3" xfId="20155"/>
    <cellStyle name="40% - Accent1 21 4" xfId="10923"/>
    <cellStyle name="40% - Accent1 21 4 2" xfId="24865"/>
    <cellStyle name="40% - Accent1 21 5" xfId="20153"/>
    <cellStyle name="40% - Accent1 22" xfId="2832"/>
    <cellStyle name="40% - Accent1 22 2" xfId="11745"/>
    <cellStyle name="40% - Accent1 22 2 2" xfId="25460"/>
    <cellStyle name="40% - Accent1 22 3" xfId="20156"/>
    <cellStyle name="40% - Accent1 23" xfId="2833"/>
    <cellStyle name="40% - Accent1 23 2" xfId="12712"/>
    <cellStyle name="40% - Accent1 23 2 2" xfId="26424"/>
    <cellStyle name="40% - Accent1 23 3" xfId="20157"/>
    <cellStyle name="40% - Accent1 24" xfId="2834"/>
    <cellStyle name="40% - Accent1 24 2" xfId="13384"/>
    <cellStyle name="40% - Accent1 24 2 2" xfId="26933"/>
    <cellStyle name="40% - Accent1 24 3" xfId="20158"/>
    <cellStyle name="40% - Accent1 25" xfId="2835"/>
    <cellStyle name="40% - Accent1 25 2" xfId="13965"/>
    <cellStyle name="40% - Accent1 25 2 2" xfId="27514"/>
    <cellStyle name="40% - Accent1 25 3" xfId="20159"/>
    <cellStyle name="40% - Accent1 26" xfId="2836"/>
    <cellStyle name="40% - Accent1 26 2" xfId="15060"/>
    <cellStyle name="40% - Accent1 26 2 2" xfId="28609"/>
    <cellStyle name="40% - Accent1 26 3" xfId="20160"/>
    <cellStyle name="40% - Accent1 27" xfId="2837"/>
    <cellStyle name="40% - Accent1 27 2" xfId="15835"/>
    <cellStyle name="40% - Accent1 27 2 2" xfId="29242"/>
    <cellStyle name="40% - Accent1 27 3" xfId="20161"/>
    <cellStyle name="40% - Accent1 28" xfId="2838"/>
    <cellStyle name="40% - Accent1 28 2" xfId="15851"/>
    <cellStyle name="40% - Accent1 28 2 2" xfId="29258"/>
    <cellStyle name="40% - Accent1 28 3" xfId="20162"/>
    <cellStyle name="40% - Accent1 29" xfId="2839"/>
    <cellStyle name="40% - Accent1 29 2" xfId="9197"/>
    <cellStyle name="40% - Accent1 29 2 2" xfId="23672"/>
    <cellStyle name="40% - Accent1 29 3" xfId="20163"/>
    <cellStyle name="40% - Accent1 3" xfId="2840"/>
    <cellStyle name="40% - Accent1 3 10" xfId="2841"/>
    <cellStyle name="40% - Accent1 3 10 2" xfId="14040"/>
    <cellStyle name="40% - Accent1 3 10 2 2" xfId="27589"/>
    <cellStyle name="40% - Accent1 3 10 3" xfId="20165"/>
    <cellStyle name="40% - Accent1 3 11" xfId="2842"/>
    <cellStyle name="40% - Accent1 3 11 2" xfId="15104"/>
    <cellStyle name="40% - Accent1 3 11 2 2" xfId="28653"/>
    <cellStyle name="40% - Accent1 3 11 3" xfId="20166"/>
    <cellStyle name="40% - Accent1 3 12" xfId="2843"/>
    <cellStyle name="40% - Accent1 3 12 2" xfId="15926"/>
    <cellStyle name="40% - Accent1 3 12 2 2" xfId="29333"/>
    <cellStyle name="40% - Accent1 3 12 3" xfId="20167"/>
    <cellStyle name="40% - Accent1 3 13" xfId="9227"/>
    <cellStyle name="40% - Accent1 3 13 2" xfId="23702"/>
    <cellStyle name="40% - Accent1 3 14" xfId="20164"/>
    <cellStyle name="40% - Accent1 3 2" xfId="2844"/>
    <cellStyle name="40% - Accent1 3 2 10" xfId="2845"/>
    <cellStyle name="40% - Accent1 3 2 10 2" xfId="16069"/>
    <cellStyle name="40% - Accent1 3 2 10 2 2" xfId="29476"/>
    <cellStyle name="40% - Accent1 3 2 10 3" xfId="20169"/>
    <cellStyle name="40% - Accent1 3 2 11" xfId="9228"/>
    <cellStyle name="40% - Accent1 3 2 11 2" xfId="23703"/>
    <cellStyle name="40% - Accent1 3 2 12" xfId="20168"/>
    <cellStyle name="40% - Accent1 3 2 2" xfId="2846"/>
    <cellStyle name="40% - Accent1 3 2 2 10" xfId="9229"/>
    <cellStyle name="40% - Accent1 3 2 2 10 2" xfId="23704"/>
    <cellStyle name="40% - Accent1 3 2 2 11" xfId="20170"/>
    <cellStyle name="40% - Accent1 3 2 2 2" xfId="2847"/>
    <cellStyle name="40% - Accent1 3 2 2 2 2" xfId="2848"/>
    <cellStyle name="40% - Accent1 3 2 2 2 2 2" xfId="10956"/>
    <cellStyle name="40% - Accent1 3 2 2 2 2 2 2" xfId="24898"/>
    <cellStyle name="40% - Accent1 3 2 2 2 2 3" xfId="20172"/>
    <cellStyle name="40% - Accent1 3 2 2 2 3" xfId="2849"/>
    <cellStyle name="40% - Accent1 3 2 2 2 3 2" xfId="12781"/>
    <cellStyle name="40% - Accent1 3 2 2 2 3 2 2" xfId="26493"/>
    <cellStyle name="40% - Accent1 3 2 2 2 3 3" xfId="20173"/>
    <cellStyle name="40% - Accent1 3 2 2 2 4" xfId="2850"/>
    <cellStyle name="40% - Accent1 3 2 2 2 4 2" xfId="15107"/>
    <cellStyle name="40% - Accent1 3 2 2 2 4 2 2" xfId="28656"/>
    <cellStyle name="40% - Accent1 3 2 2 2 4 3" xfId="20174"/>
    <cellStyle name="40% - Accent1 3 2 2 2 5" xfId="2851"/>
    <cellStyle name="40% - Accent1 3 2 2 2 5 2" xfId="16939"/>
    <cellStyle name="40% - Accent1 3 2 2 2 5 2 2" xfId="30346"/>
    <cellStyle name="40% - Accent1 3 2 2 2 5 3" xfId="20175"/>
    <cellStyle name="40% - Accent1 3 2 2 2 6" xfId="9230"/>
    <cellStyle name="40% - Accent1 3 2 2 2 6 2" xfId="23705"/>
    <cellStyle name="40% - Accent1 3 2 2 2 7" xfId="20171"/>
    <cellStyle name="40% - Accent1 3 2 2 3" xfId="2852"/>
    <cellStyle name="40% - Accent1 3 2 2 3 2" xfId="2853"/>
    <cellStyle name="40% - Accent1 3 2 2 3 2 2" xfId="15108"/>
    <cellStyle name="40% - Accent1 3 2 2 3 2 2 2" xfId="28657"/>
    <cellStyle name="40% - Accent1 3 2 2 3 2 3" xfId="20177"/>
    <cellStyle name="40% - Accent1 3 2 2 3 3" xfId="10955"/>
    <cellStyle name="40% - Accent1 3 2 2 3 3 2" xfId="24897"/>
    <cellStyle name="40% - Accent1 3 2 2 3 4" xfId="20176"/>
    <cellStyle name="40% - Accent1 3 2 2 4" xfId="2854"/>
    <cellStyle name="40% - Accent1 3 2 2 4 2" xfId="12327"/>
    <cellStyle name="40% - Accent1 3 2 2 4 2 2" xfId="26039"/>
    <cellStyle name="40% - Accent1 3 2 2 4 3" xfId="20178"/>
    <cellStyle name="40% - Accent1 3 2 2 5" xfId="2855"/>
    <cellStyle name="40% - Accent1 3 2 2 5 2" xfId="12743"/>
    <cellStyle name="40% - Accent1 3 2 2 5 2 2" xfId="26455"/>
    <cellStyle name="40% - Accent1 3 2 2 5 3" xfId="20179"/>
    <cellStyle name="40% - Accent1 3 2 2 6" xfId="2856"/>
    <cellStyle name="40% - Accent1 3 2 2 6 2" xfId="13891"/>
    <cellStyle name="40% - Accent1 3 2 2 6 2 2" xfId="27440"/>
    <cellStyle name="40% - Accent1 3 2 2 6 3" xfId="20180"/>
    <cellStyle name="40% - Accent1 3 2 2 7" xfId="2857"/>
    <cellStyle name="40% - Accent1 3 2 2 7 2" xfId="14472"/>
    <cellStyle name="40% - Accent1 3 2 2 7 2 2" xfId="28021"/>
    <cellStyle name="40% - Accent1 3 2 2 7 3" xfId="20181"/>
    <cellStyle name="40% - Accent1 3 2 2 8" xfId="2858"/>
    <cellStyle name="40% - Accent1 3 2 2 8 2" xfId="15106"/>
    <cellStyle name="40% - Accent1 3 2 2 8 2 2" xfId="28655"/>
    <cellStyle name="40% - Accent1 3 2 2 8 3" xfId="20182"/>
    <cellStyle name="40% - Accent1 3 2 2 9" xfId="2859"/>
    <cellStyle name="40% - Accent1 3 2 2 9 2" xfId="16358"/>
    <cellStyle name="40% - Accent1 3 2 2 9 2 2" xfId="29765"/>
    <cellStyle name="40% - Accent1 3 2 2 9 3" xfId="20183"/>
    <cellStyle name="40% - Accent1 3 2 3" xfId="2860"/>
    <cellStyle name="40% - Accent1 3 2 3 2" xfId="2861"/>
    <cellStyle name="40% - Accent1 3 2 3 2 2" xfId="10957"/>
    <cellStyle name="40% - Accent1 3 2 3 2 2 2" xfId="24899"/>
    <cellStyle name="40% - Accent1 3 2 3 2 3" xfId="20185"/>
    <cellStyle name="40% - Accent1 3 2 3 3" xfId="2862"/>
    <cellStyle name="40% - Accent1 3 2 3 3 2" xfId="12752"/>
    <cellStyle name="40% - Accent1 3 2 3 3 2 2" xfId="26464"/>
    <cellStyle name="40% - Accent1 3 2 3 3 3" xfId="20186"/>
    <cellStyle name="40% - Accent1 3 2 3 4" xfId="2863"/>
    <cellStyle name="40% - Accent1 3 2 3 4 2" xfId="15109"/>
    <cellStyle name="40% - Accent1 3 2 3 4 2 2" xfId="28658"/>
    <cellStyle name="40% - Accent1 3 2 3 4 3" xfId="20187"/>
    <cellStyle name="40% - Accent1 3 2 3 5" xfId="2864"/>
    <cellStyle name="40% - Accent1 3 2 3 5 2" xfId="16650"/>
    <cellStyle name="40% - Accent1 3 2 3 5 2 2" xfId="30057"/>
    <cellStyle name="40% - Accent1 3 2 3 5 3" xfId="20188"/>
    <cellStyle name="40% - Accent1 3 2 3 6" xfId="9231"/>
    <cellStyle name="40% - Accent1 3 2 3 6 2" xfId="23706"/>
    <cellStyle name="40% - Accent1 3 2 3 7" xfId="20184"/>
    <cellStyle name="40% - Accent1 3 2 4" xfId="2865"/>
    <cellStyle name="40% - Accent1 3 2 4 2" xfId="2866"/>
    <cellStyle name="40% - Accent1 3 2 4 2 2" xfId="15110"/>
    <cellStyle name="40% - Accent1 3 2 4 2 2 2" xfId="28659"/>
    <cellStyle name="40% - Accent1 3 2 4 2 3" xfId="20190"/>
    <cellStyle name="40% - Accent1 3 2 4 3" xfId="10954"/>
    <cellStyle name="40% - Accent1 3 2 4 3 2" xfId="24896"/>
    <cellStyle name="40% - Accent1 3 2 4 4" xfId="20189"/>
    <cellStyle name="40% - Accent1 3 2 5" xfId="2867"/>
    <cellStyle name="40% - Accent1 3 2 5 2" xfId="12027"/>
    <cellStyle name="40% - Accent1 3 2 5 2 2" xfId="25742"/>
    <cellStyle name="40% - Accent1 3 2 5 3" xfId="20191"/>
    <cellStyle name="40% - Accent1 3 2 6" xfId="2868"/>
    <cellStyle name="40% - Accent1 3 2 6 2" xfId="11893"/>
    <cellStyle name="40% - Accent1 3 2 6 2 2" xfId="25608"/>
    <cellStyle name="40% - Accent1 3 2 6 3" xfId="20192"/>
    <cellStyle name="40% - Accent1 3 2 7" xfId="2869"/>
    <cellStyle name="40% - Accent1 3 2 7 2" xfId="13602"/>
    <cellStyle name="40% - Accent1 3 2 7 2 2" xfId="27151"/>
    <cellStyle name="40% - Accent1 3 2 7 3" xfId="20193"/>
    <cellStyle name="40% - Accent1 3 2 8" xfId="2870"/>
    <cellStyle name="40% - Accent1 3 2 8 2" xfId="14183"/>
    <cellStyle name="40% - Accent1 3 2 8 2 2" xfId="27732"/>
    <cellStyle name="40% - Accent1 3 2 8 3" xfId="20194"/>
    <cellStyle name="40% - Accent1 3 2 9" xfId="2871"/>
    <cellStyle name="40% - Accent1 3 2 9 2" xfId="15105"/>
    <cellStyle name="40% - Accent1 3 2 9 2 2" xfId="28654"/>
    <cellStyle name="40% - Accent1 3 2 9 3" xfId="20195"/>
    <cellStyle name="40% - Accent1 3 3" xfId="2872"/>
    <cellStyle name="40% - Accent1 3 3 10" xfId="9232"/>
    <cellStyle name="40% - Accent1 3 3 10 2" xfId="23707"/>
    <cellStyle name="40% - Accent1 3 3 11" xfId="20196"/>
    <cellStyle name="40% - Accent1 3 3 2" xfId="2873"/>
    <cellStyle name="40% - Accent1 3 3 2 2" xfId="2874"/>
    <cellStyle name="40% - Accent1 3 3 2 2 2" xfId="10959"/>
    <cellStyle name="40% - Accent1 3 3 2 2 2 2" xfId="24901"/>
    <cellStyle name="40% - Accent1 3 3 2 2 3" xfId="20198"/>
    <cellStyle name="40% - Accent1 3 3 2 3" xfId="2875"/>
    <cellStyle name="40% - Accent1 3 3 2 3 2" xfId="12460"/>
    <cellStyle name="40% - Accent1 3 3 2 3 2 2" xfId="26172"/>
    <cellStyle name="40% - Accent1 3 3 2 3 3" xfId="20199"/>
    <cellStyle name="40% - Accent1 3 3 2 4" xfId="2876"/>
    <cellStyle name="40% - Accent1 3 3 2 4 2" xfId="15112"/>
    <cellStyle name="40% - Accent1 3 3 2 4 2 2" xfId="28661"/>
    <cellStyle name="40% - Accent1 3 3 2 4 3" xfId="20200"/>
    <cellStyle name="40% - Accent1 3 3 2 5" xfId="2877"/>
    <cellStyle name="40% - Accent1 3 3 2 5 2" xfId="16796"/>
    <cellStyle name="40% - Accent1 3 3 2 5 2 2" xfId="30203"/>
    <cellStyle name="40% - Accent1 3 3 2 5 3" xfId="20201"/>
    <cellStyle name="40% - Accent1 3 3 2 6" xfId="9233"/>
    <cellStyle name="40% - Accent1 3 3 2 6 2" xfId="23708"/>
    <cellStyle name="40% - Accent1 3 3 2 7" xfId="20197"/>
    <cellStyle name="40% - Accent1 3 3 3" xfId="2878"/>
    <cellStyle name="40% - Accent1 3 3 3 2" xfId="2879"/>
    <cellStyle name="40% - Accent1 3 3 3 2 2" xfId="15113"/>
    <cellStyle name="40% - Accent1 3 3 3 2 2 2" xfId="28662"/>
    <cellStyle name="40% - Accent1 3 3 3 2 3" xfId="20203"/>
    <cellStyle name="40% - Accent1 3 3 3 3" xfId="10958"/>
    <cellStyle name="40% - Accent1 3 3 3 3 2" xfId="24900"/>
    <cellStyle name="40% - Accent1 3 3 3 4" xfId="20202"/>
    <cellStyle name="40% - Accent1 3 3 4" xfId="2880"/>
    <cellStyle name="40% - Accent1 3 3 4 2" xfId="12184"/>
    <cellStyle name="40% - Accent1 3 3 4 2 2" xfId="25896"/>
    <cellStyle name="40% - Accent1 3 3 4 3" xfId="20204"/>
    <cellStyle name="40% - Accent1 3 3 5" xfId="2881"/>
    <cellStyle name="40% - Accent1 3 3 5 2" xfId="12696"/>
    <cellStyle name="40% - Accent1 3 3 5 2 2" xfId="26408"/>
    <cellStyle name="40% - Accent1 3 3 5 3" xfId="20205"/>
    <cellStyle name="40% - Accent1 3 3 6" xfId="2882"/>
    <cellStyle name="40% - Accent1 3 3 6 2" xfId="13748"/>
    <cellStyle name="40% - Accent1 3 3 6 2 2" xfId="27297"/>
    <cellStyle name="40% - Accent1 3 3 6 3" xfId="20206"/>
    <cellStyle name="40% - Accent1 3 3 7" xfId="2883"/>
    <cellStyle name="40% - Accent1 3 3 7 2" xfId="14329"/>
    <cellStyle name="40% - Accent1 3 3 7 2 2" xfId="27878"/>
    <cellStyle name="40% - Accent1 3 3 7 3" xfId="20207"/>
    <cellStyle name="40% - Accent1 3 3 8" xfId="2884"/>
    <cellStyle name="40% - Accent1 3 3 8 2" xfId="15111"/>
    <cellStyle name="40% - Accent1 3 3 8 2 2" xfId="28660"/>
    <cellStyle name="40% - Accent1 3 3 8 3" xfId="20208"/>
    <cellStyle name="40% - Accent1 3 3 9" xfId="2885"/>
    <cellStyle name="40% - Accent1 3 3 9 2" xfId="16215"/>
    <cellStyle name="40% - Accent1 3 3 9 2 2" xfId="29622"/>
    <cellStyle name="40% - Accent1 3 3 9 3" xfId="20209"/>
    <cellStyle name="40% - Accent1 3 4" xfId="2886"/>
    <cellStyle name="40% - Accent1 3 4 2" xfId="2887"/>
    <cellStyle name="40% - Accent1 3 4 2 2" xfId="10960"/>
    <cellStyle name="40% - Accent1 3 4 2 2 2" xfId="24902"/>
    <cellStyle name="40% - Accent1 3 4 2 3" xfId="20211"/>
    <cellStyle name="40% - Accent1 3 4 3" xfId="2888"/>
    <cellStyle name="40% - Accent1 3 4 3 2" xfId="12589"/>
    <cellStyle name="40% - Accent1 3 4 3 2 2" xfId="26301"/>
    <cellStyle name="40% - Accent1 3 4 3 3" xfId="20212"/>
    <cellStyle name="40% - Accent1 3 4 4" xfId="2889"/>
    <cellStyle name="40% - Accent1 3 4 4 2" xfId="15114"/>
    <cellStyle name="40% - Accent1 3 4 4 2 2" xfId="28663"/>
    <cellStyle name="40% - Accent1 3 4 4 3" xfId="20213"/>
    <cellStyle name="40% - Accent1 3 4 5" xfId="2890"/>
    <cellStyle name="40% - Accent1 3 4 5 2" xfId="17143"/>
    <cellStyle name="40% - Accent1 3 4 5 2 2" xfId="30502"/>
    <cellStyle name="40% - Accent1 3 4 5 3" xfId="20214"/>
    <cellStyle name="40% - Accent1 3 4 6" xfId="9234"/>
    <cellStyle name="40% - Accent1 3 4 6 2" xfId="23709"/>
    <cellStyle name="40% - Accent1 3 4 7" xfId="20210"/>
    <cellStyle name="40% - Accent1 3 5" xfId="2891"/>
    <cellStyle name="40% - Accent1 3 5 2" xfId="2892"/>
    <cellStyle name="40% - Accent1 3 5 2 2" xfId="10961"/>
    <cellStyle name="40% - Accent1 3 5 2 2 2" xfId="24903"/>
    <cellStyle name="40% - Accent1 3 5 2 3" xfId="20216"/>
    <cellStyle name="40% - Accent1 3 5 3" xfId="2893"/>
    <cellStyle name="40% - Accent1 3 5 3 2" xfId="12410"/>
    <cellStyle name="40% - Accent1 3 5 3 2 2" xfId="26122"/>
    <cellStyle name="40% - Accent1 3 5 3 3" xfId="20217"/>
    <cellStyle name="40% - Accent1 3 5 4" xfId="2894"/>
    <cellStyle name="40% - Accent1 3 5 4 2" xfId="15115"/>
    <cellStyle name="40% - Accent1 3 5 4 2 2" xfId="28664"/>
    <cellStyle name="40% - Accent1 3 5 4 3" xfId="20218"/>
    <cellStyle name="40% - Accent1 3 5 5" xfId="2895"/>
    <cellStyle name="40% - Accent1 3 5 5 2" xfId="17232"/>
    <cellStyle name="40% - Accent1 3 5 5 2 2" xfId="30591"/>
    <cellStyle name="40% - Accent1 3 5 5 3" xfId="20219"/>
    <cellStyle name="40% - Accent1 3 5 6" xfId="9235"/>
    <cellStyle name="40% - Accent1 3 5 6 2" xfId="23710"/>
    <cellStyle name="40% - Accent1 3 5 7" xfId="20215"/>
    <cellStyle name="40% - Accent1 3 6" xfId="2896"/>
    <cellStyle name="40% - Accent1 3 6 2" xfId="2897"/>
    <cellStyle name="40% - Accent1 3 6 2 2" xfId="15116"/>
    <cellStyle name="40% - Accent1 3 6 2 2 2" xfId="28665"/>
    <cellStyle name="40% - Accent1 3 6 2 3" xfId="20221"/>
    <cellStyle name="40% - Accent1 3 6 3" xfId="2898"/>
    <cellStyle name="40% - Accent1 3 6 3 2" xfId="16507"/>
    <cellStyle name="40% - Accent1 3 6 3 2 2" xfId="29914"/>
    <cellStyle name="40% - Accent1 3 6 3 3" xfId="20222"/>
    <cellStyle name="40% - Accent1 3 6 4" xfId="10953"/>
    <cellStyle name="40% - Accent1 3 6 4 2" xfId="24895"/>
    <cellStyle name="40% - Accent1 3 6 5" xfId="20220"/>
    <cellStyle name="40% - Accent1 3 7" xfId="2899"/>
    <cellStyle name="40% - Accent1 3 7 2" xfId="11879"/>
    <cellStyle name="40% - Accent1 3 7 2 2" xfId="25594"/>
    <cellStyle name="40% - Accent1 3 7 3" xfId="20223"/>
    <cellStyle name="40% - Accent1 3 8" xfId="2900"/>
    <cellStyle name="40% - Accent1 3 8 2" xfId="11756"/>
    <cellStyle name="40% - Accent1 3 8 2 2" xfId="25471"/>
    <cellStyle name="40% - Accent1 3 8 3" xfId="20224"/>
    <cellStyle name="40% - Accent1 3 9" xfId="2901"/>
    <cellStyle name="40% - Accent1 3 9 2" xfId="13459"/>
    <cellStyle name="40% - Accent1 3 9 2 2" xfId="27008"/>
    <cellStyle name="40% - Accent1 3 9 3" xfId="20225"/>
    <cellStyle name="40% - Accent1 30" xfId="23247"/>
    <cellStyle name="40% - Accent1 4" xfId="2902"/>
    <cellStyle name="40% - Accent1 4 10" xfId="2903"/>
    <cellStyle name="40% - Accent1 4 10 2" xfId="15117"/>
    <cellStyle name="40% - Accent1 4 10 2 2" xfId="28666"/>
    <cellStyle name="40% - Accent1 4 10 3" xfId="20227"/>
    <cellStyle name="40% - Accent1 4 11" xfId="2904"/>
    <cellStyle name="40% - Accent1 4 11 2" xfId="15885"/>
    <cellStyle name="40% - Accent1 4 11 2 2" xfId="29292"/>
    <cellStyle name="40% - Accent1 4 11 3" xfId="20228"/>
    <cellStyle name="40% - Accent1 4 12" xfId="9236"/>
    <cellStyle name="40% - Accent1 4 12 2" xfId="23711"/>
    <cellStyle name="40% - Accent1 4 13" xfId="20226"/>
    <cellStyle name="40% - Accent1 4 2" xfId="2905"/>
    <cellStyle name="40% - Accent1 4 2 10" xfId="2906"/>
    <cellStyle name="40% - Accent1 4 2 10 2" xfId="16028"/>
    <cellStyle name="40% - Accent1 4 2 10 2 2" xfId="29435"/>
    <cellStyle name="40% - Accent1 4 2 10 3" xfId="20230"/>
    <cellStyle name="40% - Accent1 4 2 11" xfId="9237"/>
    <cellStyle name="40% - Accent1 4 2 11 2" xfId="23712"/>
    <cellStyle name="40% - Accent1 4 2 12" xfId="20229"/>
    <cellStyle name="40% - Accent1 4 2 2" xfId="2907"/>
    <cellStyle name="40% - Accent1 4 2 2 10" xfId="9238"/>
    <cellStyle name="40% - Accent1 4 2 2 10 2" xfId="23713"/>
    <cellStyle name="40% - Accent1 4 2 2 11" xfId="20231"/>
    <cellStyle name="40% - Accent1 4 2 2 2" xfId="2908"/>
    <cellStyle name="40% - Accent1 4 2 2 2 2" xfId="2909"/>
    <cellStyle name="40% - Accent1 4 2 2 2 2 2" xfId="10965"/>
    <cellStyle name="40% - Accent1 4 2 2 2 2 2 2" xfId="24907"/>
    <cellStyle name="40% - Accent1 4 2 2 2 2 3" xfId="20233"/>
    <cellStyle name="40% - Accent1 4 2 2 2 3" xfId="2910"/>
    <cellStyle name="40% - Accent1 4 2 2 2 3 2" xfId="12519"/>
    <cellStyle name="40% - Accent1 4 2 2 2 3 2 2" xfId="26231"/>
    <cellStyle name="40% - Accent1 4 2 2 2 3 3" xfId="20234"/>
    <cellStyle name="40% - Accent1 4 2 2 2 4" xfId="2911"/>
    <cellStyle name="40% - Accent1 4 2 2 2 4 2" xfId="15120"/>
    <cellStyle name="40% - Accent1 4 2 2 2 4 2 2" xfId="28669"/>
    <cellStyle name="40% - Accent1 4 2 2 2 4 3" xfId="20235"/>
    <cellStyle name="40% - Accent1 4 2 2 2 5" xfId="2912"/>
    <cellStyle name="40% - Accent1 4 2 2 2 5 2" xfId="16898"/>
    <cellStyle name="40% - Accent1 4 2 2 2 5 2 2" xfId="30305"/>
    <cellStyle name="40% - Accent1 4 2 2 2 5 3" xfId="20236"/>
    <cellStyle name="40% - Accent1 4 2 2 2 6" xfId="9239"/>
    <cellStyle name="40% - Accent1 4 2 2 2 6 2" xfId="23714"/>
    <cellStyle name="40% - Accent1 4 2 2 2 7" xfId="20232"/>
    <cellStyle name="40% - Accent1 4 2 2 3" xfId="2913"/>
    <cellStyle name="40% - Accent1 4 2 2 3 2" xfId="2914"/>
    <cellStyle name="40% - Accent1 4 2 2 3 2 2" xfId="15121"/>
    <cellStyle name="40% - Accent1 4 2 2 3 2 2 2" xfId="28670"/>
    <cellStyle name="40% - Accent1 4 2 2 3 2 3" xfId="20238"/>
    <cellStyle name="40% - Accent1 4 2 2 3 3" xfId="10964"/>
    <cellStyle name="40% - Accent1 4 2 2 3 3 2" xfId="24906"/>
    <cellStyle name="40% - Accent1 4 2 2 3 4" xfId="20237"/>
    <cellStyle name="40% - Accent1 4 2 2 4" xfId="2915"/>
    <cellStyle name="40% - Accent1 4 2 2 4 2" xfId="12286"/>
    <cellStyle name="40% - Accent1 4 2 2 4 2 2" xfId="25998"/>
    <cellStyle name="40% - Accent1 4 2 2 4 3" xfId="20239"/>
    <cellStyle name="40% - Accent1 4 2 2 5" xfId="2916"/>
    <cellStyle name="40% - Accent1 4 2 2 5 2" xfId="11787"/>
    <cellStyle name="40% - Accent1 4 2 2 5 2 2" xfId="25502"/>
    <cellStyle name="40% - Accent1 4 2 2 5 3" xfId="20240"/>
    <cellStyle name="40% - Accent1 4 2 2 6" xfId="2917"/>
    <cellStyle name="40% - Accent1 4 2 2 6 2" xfId="13850"/>
    <cellStyle name="40% - Accent1 4 2 2 6 2 2" xfId="27399"/>
    <cellStyle name="40% - Accent1 4 2 2 6 3" xfId="20241"/>
    <cellStyle name="40% - Accent1 4 2 2 7" xfId="2918"/>
    <cellStyle name="40% - Accent1 4 2 2 7 2" xfId="14431"/>
    <cellStyle name="40% - Accent1 4 2 2 7 2 2" xfId="27980"/>
    <cellStyle name="40% - Accent1 4 2 2 7 3" xfId="20242"/>
    <cellStyle name="40% - Accent1 4 2 2 8" xfId="2919"/>
    <cellStyle name="40% - Accent1 4 2 2 8 2" xfId="15119"/>
    <cellStyle name="40% - Accent1 4 2 2 8 2 2" xfId="28668"/>
    <cellStyle name="40% - Accent1 4 2 2 8 3" xfId="20243"/>
    <cellStyle name="40% - Accent1 4 2 2 9" xfId="2920"/>
    <cellStyle name="40% - Accent1 4 2 2 9 2" xfId="16317"/>
    <cellStyle name="40% - Accent1 4 2 2 9 2 2" xfId="29724"/>
    <cellStyle name="40% - Accent1 4 2 2 9 3" xfId="20244"/>
    <cellStyle name="40% - Accent1 4 2 3" xfId="2921"/>
    <cellStyle name="40% - Accent1 4 2 3 2" xfId="2922"/>
    <cellStyle name="40% - Accent1 4 2 3 2 2" xfId="10966"/>
    <cellStyle name="40% - Accent1 4 2 3 2 2 2" xfId="24908"/>
    <cellStyle name="40% - Accent1 4 2 3 2 3" xfId="20246"/>
    <cellStyle name="40% - Accent1 4 2 3 3" xfId="2923"/>
    <cellStyle name="40% - Accent1 4 2 3 3 2" xfId="12443"/>
    <cellStyle name="40% - Accent1 4 2 3 3 2 2" xfId="26155"/>
    <cellStyle name="40% - Accent1 4 2 3 3 3" xfId="20247"/>
    <cellStyle name="40% - Accent1 4 2 3 4" xfId="2924"/>
    <cellStyle name="40% - Accent1 4 2 3 4 2" xfId="15122"/>
    <cellStyle name="40% - Accent1 4 2 3 4 2 2" xfId="28671"/>
    <cellStyle name="40% - Accent1 4 2 3 4 3" xfId="20248"/>
    <cellStyle name="40% - Accent1 4 2 3 5" xfId="2925"/>
    <cellStyle name="40% - Accent1 4 2 3 5 2" xfId="16609"/>
    <cellStyle name="40% - Accent1 4 2 3 5 2 2" xfId="30016"/>
    <cellStyle name="40% - Accent1 4 2 3 5 3" xfId="20249"/>
    <cellStyle name="40% - Accent1 4 2 3 6" xfId="9240"/>
    <cellStyle name="40% - Accent1 4 2 3 6 2" xfId="23715"/>
    <cellStyle name="40% - Accent1 4 2 3 7" xfId="20245"/>
    <cellStyle name="40% - Accent1 4 2 4" xfId="2926"/>
    <cellStyle name="40% - Accent1 4 2 4 2" xfId="2927"/>
    <cellStyle name="40% - Accent1 4 2 4 2 2" xfId="15123"/>
    <cellStyle name="40% - Accent1 4 2 4 2 2 2" xfId="28672"/>
    <cellStyle name="40% - Accent1 4 2 4 2 3" xfId="20251"/>
    <cellStyle name="40% - Accent1 4 2 4 3" xfId="10963"/>
    <cellStyle name="40% - Accent1 4 2 4 3 2" xfId="24905"/>
    <cellStyle name="40% - Accent1 4 2 4 4" xfId="20250"/>
    <cellStyle name="40% - Accent1 4 2 5" xfId="2928"/>
    <cellStyle name="40% - Accent1 4 2 5 2" xfId="11986"/>
    <cellStyle name="40% - Accent1 4 2 5 2 2" xfId="25701"/>
    <cellStyle name="40% - Accent1 4 2 5 3" xfId="20252"/>
    <cellStyle name="40% - Accent1 4 2 6" xfId="2929"/>
    <cellStyle name="40% - Accent1 4 2 6 2" xfId="12436"/>
    <cellStyle name="40% - Accent1 4 2 6 2 2" xfId="26148"/>
    <cellStyle name="40% - Accent1 4 2 6 3" xfId="20253"/>
    <cellStyle name="40% - Accent1 4 2 7" xfId="2930"/>
    <cellStyle name="40% - Accent1 4 2 7 2" xfId="13561"/>
    <cellStyle name="40% - Accent1 4 2 7 2 2" xfId="27110"/>
    <cellStyle name="40% - Accent1 4 2 7 3" xfId="20254"/>
    <cellStyle name="40% - Accent1 4 2 8" xfId="2931"/>
    <cellStyle name="40% - Accent1 4 2 8 2" xfId="14142"/>
    <cellStyle name="40% - Accent1 4 2 8 2 2" xfId="27691"/>
    <cellStyle name="40% - Accent1 4 2 8 3" xfId="20255"/>
    <cellStyle name="40% - Accent1 4 2 9" xfId="2932"/>
    <cellStyle name="40% - Accent1 4 2 9 2" xfId="15118"/>
    <cellStyle name="40% - Accent1 4 2 9 2 2" xfId="28667"/>
    <cellStyle name="40% - Accent1 4 2 9 3" xfId="20256"/>
    <cellStyle name="40% - Accent1 4 3" xfId="2933"/>
    <cellStyle name="40% - Accent1 4 3 10" xfId="9241"/>
    <cellStyle name="40% - Accent1 4 3 10 2" xfId="23716"/>
    <cellStyle name="40% - Accent1 4 3 11" xfId="20257"/>
    <cellStyle name="40% - Accent1 4 3 2" xfId="2934"/>
    <cellStyle name="40% - Accent1 4 3 2 2" xfId="2935"/>
    <cellStyle name="40% - Accent1 4 3 2 2 2" xfId="10968"/>
    <cellStyle name="40% - Accent1 4 3 2 2 2 2" xfId="24910"/>
    <cellStyle name="40% - Accent1 4 3 2 2 3" xfId="20259"/>
    <cellStyle name="40% - Accent1 4 3 2 3" xfId="2936"/>
    <cellStyle name="40% - Accent1 4 3 2 3 2" xfId="12478"/>
    <cellStyle name="40% - Accent1 4 3 2 3 2 2" xfId="26190"/>
    <cellStyle name="40% - Accent1 4 3 2 3 3" xfId="20260"/>
    <cellStyle name="40% - Accent1 4 3 2 4" xfId="2937"/>
    <cellStyle name="40% - Accent1 4 3 2 4 2" xfId="15125"/>
    <cellStyle name="40% - Accent1 4 3 2 4 2 2" xfId="28674"/>
    <cellStyle name="40% - Accent1 4 3 2 4 3" xfId="20261"/>
    <cellStyle name="40% - Accent1 4 3 2 5" xfId="2938"/>
    <cellStyle name="40% - Accent1 4 3 2 5 2" xfId="16758"/>
    <cellStyle name="40% - Accent1 4 3 2 5 2 2" xfId="30165"/>
    <cellStyle name="40% - Accent1 4 3 2 5 3" xfId="20262"/>
    <cellStyle name="40% - Accent1 4 3 2 6" xfId="9242"/>
    <cellStyle name="40% - Accent1 4 3 2 6 2" xfId="23717"/>
    <cellStyle name="40% - Accent1 4 3 2 7" xfId="20258"/>
    <cellStyle name="40% - Accent1 4 3 3" xfId="2939"/>
    <cellStyle name="40% - Accent1 4 3 3 2" xfId="2940"/>
    <cellStyle name="40% - Accent1 4 3 3 2 2" xfId="15126"/>
    <cellStyle name="40% - Accent1 4 3 3 2 2 2" xfId="28675"/>
    <cellStyle name="40% - Accent1 4 3 3 2 3" xfId="20264"/>
    <cellStyle name="40% - Accent1 4 3 3 3" xfId="10967"/>
    <cellStyle name="40% - Accent1 4 3 3 3 2" xfId="24909"/>
    <cellStyle name="40% - Accent1 4 3 3 4" xfId="20263"/>
    <cellStyle name="40% - Accent1 4 3 4" xfId="2941"/>
    <cellStyle name="40% - Accent1 4 3 4 2" xfId="12146"/>
    <cellStyle name="40% - Accent1 4 3 4 2 2" xfId="25858"/>
    <cellStyle name="40% - Accent1 4 3 4 3" xfId="20265"/>
    <cellStyle name="40% - Accent1 4 3 5" xfId="2942"/>
    <cellStyle name="40% - Accent1 4 3 5 2" xfId="12596"/>
    <cellStyle name="40% - Accent1 4 3 5 2 2" xfId="26308"/>
    <cellStyle name="40% - Accent1 4 3 5 3" xfId="20266"/>
    <cellStyle name="40% - Accent1 4 3 6" xfId="2943"/>
    <cellStyle name="40% - Accent1 4 3 6 2" xfId="13710"/>
    <cellStyle name="40% - Accent1 4 3 6 2 2" xfId="27259"/>
    <cellStyle name="40% - Accent1 4 3 6 3" xfId="20267"/>
    <cellStyle name="40% - Accent1 4 3 7" xfId="2944"/>
    <cellStyle name="40% - Accent1 4 3 7 2" xfId="14291"/>
    <cellStyle name="40% - Accent1 4 3 7 2 2" xfId="27840"/>
    <cellStyle name="40% - Accent1 4 3 7 3" xfId="20268"/>
    <cellStyle name="40% - Accent1 4 3 8" xfId="2945"/>
    <cellStyle name="40% - Accent1 4 3 8 2" xfId="15124"/>
    <cellStyle name="40% - Accent1 4 3 8 2 2" xfId="28673"/>
    <cellStyle name="40% - Accent1 4 3 8 3" xfId="20269"/>
    <cellStyle name="40% - Accent1 4 3 9" xfId="2946"/>
    <cellStyle name="40% - Accent1 4 3 9 2" xfId="16177"/>
    <cellStyle name="40% - Accent1 4 3 9 2 2" xfId="29584"/>
    <cellStyle name="40% - Accent1 4 3 9 3" xfId="20270"/>
    <cellStyle name="40% - Accent1 4 4" xfId="2947"/>
    <cellStyle name="40% - Accent1 4 4 2" xfId="2948"/>
    <cellStyle name="40% - Accent1 4 4 2 2" xfId="10969"/>
    <cellStyle name="40% - Accent1 4 4 2 2 2" xfId="24911"/>
    <cellStyle name="40% - Accent1 4 4 2 3" xfId="20272"/>
    <cellStyle name="40% - Accent1 4 4 3" xfId="2949"/>
    <cellStyle name="40% - Accent1 4 4 3 2" xfId="12463"/>
    <cellStyle name="40% - Accent1 4 4 3 2 2" xfId="26175"/>
    <cellStyle name="40% - Accent1 4 4 3 3" xfId="20273"/>
    <cellStyle name="40% - Accent1 4 4 4" xfId="2950"/>
    <cellStyle name="40% - Accent1 4 4 4 2" xfId="15127"/>
    <cellStyle name="40% - Accent1 4 4 4 2 2" xfId="28676"/>
    <cellStyle name="40% - Accent1 4 4 4 3" xfId="20274"/>
    <cellStyle name="40% - Accent1 4 4 5" xfId="2951"/>
    <cellStyle name="40% - Accent1 4 4 5 2" xfId="16466"/>
    <cellStyle name="40% - Accent1 4 4 5 2 2" xfId="29873"/>
    <cellStyle name="40% - Accent1 4 4 5 3" xfId="20275"/>
    <cellStyle name="40% - Accent1 4 4 6" xfId="9243"/>
    <cellStyle name="40% - Accent1 4 4 6 2" xfId="23718"/>
    <cellStyle name="40% - Accent1 4 4 7" xfId="20271"/>
    <cellStyle name="40% - Accent1 4 5" xfId="2952"/>
    <cellStyle name="40% - Accent1 4 5 2" xfId="2953"/>
    <cellStyle name="40% - Accent1 4 5 2 2" xfId="15128"/>
    <cellStyle name="40% - Accent1 4 5 2 2 2" xfId="28677"/>
    <cellStyle name="40% - Accent1 4 5 2 3" xfId="20277"/>
    <cellStyle name="40% - Accent1 4 5 3" xfId="10962"/>
    <cellStyle name="40% - Accent1 4 5 3 2" xfId="24904"/>
    <cellStyle name="40% - Accent1 4 5 4" xfId="20276"/>
    <cellStyle name="40% - Accent1 4 6" xfId="2954"/>
    <cellStyle name="40% - Accent1 4 6 2" xfId="11817"/>
    <cellStyle name="40% - Accent1 4 6 2 2" xfId="25532"/>
    <cellStyle name="40% - Accent1 4 6 3" xfId="20278"/>
    <cellStyle name="40% - Accent1 4 7" xfId="2955"/>
    <cellStyle name="40% - Accent1 4 7 2" xfId="12649"/>
    <cellStyle name="40% - Accent1 4 7 2 2" xfId="26361"/>
    <cellStyle name="40% - Accent1 4 7 3" xfId="20279"/>
    <cellStyle name="40% - Accent1 4 8" xfId="2956"/>
    <cellStyle name="40% - Accent1 4 8 2" xfId="13418"/>
    <cellStyle name="40% - Accent1 4 8 2 2" xfId="26967"/>
    <cellStyle name="40% - Accent1 4 8 3" xfId="20280"/>
    <cellStyle name="40% - Accent1 4 9" xfId="2957"/>
    <cellStyle name="40% - Accent1 4 9 2" xfId="13999"/>
    <cellStyle name="40% - Accent1 4 9 2 2" xfId="27548"/>
    <cellStyle name="40% - Accent1 4 9 3" xfId="20281"/>
    <cellStyle name="40% - Accent1 5" xfId="2958"/>
    <cellStyle name="40% - Accent1 5 10" xfId="2959"/>
    <cellStyle name="40% - Accent1 5 10 2" xfId="15129"/>
    <cellStyle name="40% - Accent1 5 10 2 2" xfId="28678"/>
    <cellStyle name="40% - Accent1 5 10 3" xfId="20283"/>
    <cellStyle name="40% - Accent1 5 11" xfId="2960"/>
    <cellStyle name="40% - Accent1 5 11 2" xfId="15868"/>
    <cellStyle name="40% - Accent1 5 11 2 2" xfId="29275"/>
    <cellStyle name="40% - Accent1 5 11 3" xfId="20284"/>
    <cellStyle name="40% - Accent1 5 12" xfId="9244"/>
    <cellStyle name="40% - Accent1 5 12 2" xfId="23719"/>
    <cellStyle name="40% - Accent1 5 13" xfId="20282"/>
    <cellStyle name="40% - Accent1 5 2" xfId="2961"/>
    <cellStyle name="40% - Accent1 5 2 10" xfId="2962"/>
    <cellStyle name="40% - Accent1 5 2 10 2" xfId="16011"/>
    <cellStyle name="40% - Accent1 5 2 10 2 2" xfId="29418"/>
    <cellStyle name="40% - Accent1 5 2 10 3" xfId="20286"/>
    <cellStyle name="40% - Accent1 5 2 11" xfId="9245"/>
    <cellStyle name="40% - Accent1 5 2 11 2" xfId="23720"/>
    <cellStyle name="40% - Accent1 5 2 12" xfId="20285"/>
    <cellStyle name="40% - Accent1 5 2 2" xfId="2963"/>
    <cellStyle name="40% - Accent1 5 2 2 10" xfId="9246"/>
    <cellStyle name="40% - Accent1 5 2 2 10 2" xfId="23721"/>
    <cellStyle name="40% - Accent1 5 2 2 11" xfId="20287"/>
    <cellStyle name="40% - Accent1 5 2 2 2" xfId="2964"/>
    <cellStyle name="40% - Accent1 5 2 2 2 2" xfId="2965"/>
    <cellStyle name="40% - Accent1 5 2 2 2 2 2" xfId="10973"/>
    <cellStyle name="40% - Accent1 5 2 2 2 2 2 2" xfId="24915"/>
    <cellStyle name="40% - Accent1 5 2 2 2 2 3" xfId="20289"/>
    <cellStyle name="40% - Accent1 5 2 2 2 3" xfId="2966"/>
    <cellStyle name="40% - Accent1 5 2 2 2 3 2" xfId="12517"/>
    <cellStyle name="40% - Accent1 5 2 2 2 3 2 2" xfId="26229"/>
    <cellStyle name="40% - Accent1 5 2 2 2 3 3" xfId="20290"/>
    <cellStyle name="40% - Accent1 5 2 2 2 4" xfId="2967"/>
    <cellStyle name="40% - Accent1 5 2 2 2 4 2" xfId="15132"/>
    <cellStyle name="40% - Accent1 5 2 2 2 4 2 2" xfId="28681"/>
    <cellStyle name="40% - Accent1 5 2 2 2 4 3" xfId="20291"/>
    <cellStyle name="40% - Accent1 5 2 2 2 5" xfId="2968"/>
    <cellStyle name="40% - Accent1 5 2 2 2 5 2" xfId="16881"/>
    <cellStyle name="40% - Accent1 5 2 2 2 5 2 2" xfId="30288"/>
    <cellStyle name="40% - Accent1 5 2 2 2 5 3" xfId="20292"/>
    <cellStyle name="40% - Accent1 5 2 2 2 6" xfId="9247"/>
    <cellStyle name="40% - Accent1 5 2 2 2 6 2" xfId="23722"/>
    <cellStyle name="40% - Accent1 5 2 2 2 7" xfId="20288"/>
    <cellStyle name="40% - Accent1 5 2 2 3" xfId="2969"/>
    <cellStyle name="40% - Accent1 5 2 2 3 2" xfId="2970"/>
    <cellStyle name="40% - Accent1 5 2 2 3 2 2" xfId="15133"/>
    <cellStyle name="40% - Accent1 5 2 2 3 2 2 2" xfId="28682"/>
    <cellStyle name="40% - Accent1 5 2 2 3 2 3" xfId="20294"/>
    <cellStyle name="40% - Accent1 5 2 2 3 3" xfId="10972"/>
    <cellStyle name="40% - Accent1 5 2 2 3 3 2" xfId="24914"/>
    <cellStyle name="40% - Accent1 5 2 2 3 4" xfId="20293"/>
    <cellStyle name="40% - Accent1 5 2 2 4" xfId="2971"/>
    <cellStyle name="40% - Accent1 5 2 2 4 2" xfId="12269"/>
    <cellStyle name="40% - Accent1 5 2 2 4 2 2" xfId="25981"/>
    <cellStyle name="40% - Accent1 5 2 2 4 3" xfId="20295"/>
    <cellStyle name="40% - Accent1 5 2 2 5" xfId="2972"/>
    <cellStyle name="40% - Accent1 5 2 2 5 2" xfId="12469"/>
    <cellStyle name="40% - Accent1 5 2 2 5 2 2" xfId="26181"/>
    <cellStyle name="40% - Accent1 5 2 2 5 3" xfId="20296"/>
    <cellStyle name="40% - Accent1 5 2 2 6" xfId="2973"/>
    <cellStyle name="40% - Accent1 5 2 2 6 2" xfId="13833"/>
    <cellStyle name="40% - Accent1 5 2 2 6 2 2" xfId="27382"/>
    <cellStyle name="40% - Accent1 5 2 2 6 3" xfId="20297"/>
    <cellStyle name="40% - Accent1 5 2 2 7" xfId="2974"/>
    <cellStyle name="40% - Accent1 5 2 2 7 2" xfId="14414"/>
    <cellStyle name="40% - Accent1 5 2 2 7 2 2" xfId="27963"/>
    <cellStyle name="40% - Accent1 5 2 2 7 3" xfId="20298"/>
    <cellStyle name="40% - Accent1 5 2 2 8" xfId="2975"/>
    <cellStyle name="40% - Accent1 5 2 2 8 2" xfId="15131"/>
    <cellStyle name="40% - Accent1 5 2 2 8 2 2" xfId="28680"/>
    <cellStyle name="40% - Accent1 5 2 2 8 3" xfId="20299"/>
    <cellStyle name="40% - Accent1 5 2 2 9" xfId="2976"/>
    <cellStyle name="40% - Accent1 5 2 2 9 2" xfId="16300"/>
    <cellStyle name="40% - Accent1 5 2 2 9 2 2" xfId="29707"/>
    <cellStyle name="40% - Accent1 5 2 2 9 3" xfId="20300"/>
    <cellStyle name="40% - Accent1 5 2 3" xfId="2977"/>
    <cellStyle name="40% - Accent1 5 2 3 2" xfId="2978"/>
    <cellStyle name="40% - Accent1 5 2 3 2 2" xfId="10974"/>
    <cellStyle name="40% - Accent1 5 2 3 2 2 2" xfId="24916"/>
    <cellStyle name="40% - Accent1 5 2 3 2 3" xfId="20302"/>
    <cellStyle name="40% - Accent1 5 2 3 3" xfId="2979"/>
    <cellStyle name="40% - Accent1 5 2 3 3 2" xfId="11771"/>
    <cellStyle name="40% - Accent1 5 2 3 3 2 2" xfId="25486"/>
    <cellStyle name="40% - Accent1 5 2 3 3 3" xfId="20303"/>
    <cellStyle name="40% - Accent1 5 2 3 4" xfId="2980"/>
    <cellStyle name="40% - Accent1 5 2 3 4 2" xfId="15134"/>
    <cellStyle name="40% - Accent1 5 2 3 4 2 2" xfId="28683"/>
    <cellStyle name="40% - Accent1 5 2 3 4 3" xfId="20304"/>
    <cellStyle name="40% - Accent1 5 2 3 5" xfId="2981"/>
    <cellStyle name="40% - Accent1 5 2 3 5 2" xfId="16592"/>
    <cellStyle name="40% - Accent1 5 2 3 5 2 2" xfId="29999"/>
    <cellStyle name="40% - Accent1 5 2 3 5 3" xfId="20305"/>
    <cellStyle name="40% - Accent1 5 2 3 6" xfId="9248"/>
    <cellStyle name="40% - Accent1 5 2 3 6 2" xfId="23723"/>
    <cellStyle name="40% - Accent1 5 2 3 7" xfId="20301"/>
    <cellStyle name="40% - Accent1 5 2 4" xfId="2982"/>
    <cellStyle name="40% - Accent1 5 2 4 2" xfId="2983"/>
    <cellStyle name="40% - Accent1 5 2 4 2 2" xfId="15135"/>
    <cellStyle name="40% - Accent1 5 2 4 2 2 2" xfId="28684"/>
    <cellStyle name="40% - Accent1 5 2 4 2 3" xfId="20307"/>
    <cellStyle name="40% - Accent1 5 2 4 3" xfId="10971"/>
    <cellStyle name="40% - Accent1 5 2 4 3 2" xfId="24913"/>
    <cellStyle name="40% - Accent1 5 2 4 4" xfId="20306"/>
    <cellStyle name="40% - Accent1 5 2 5" xfId="2984"/>
    <cellStyle name="40% - Accent1 5 2 5 2" xfId="11969"/>
    <cellStyle name="40% - Accent1 5 2 5 2 2" xfId="25684"/>
    <cellStyle name="40% - Accent1 5 2 5 3" xfId="20308"/>
    <cellStyle name="40% - Accent1 5 2 6" xfId="2985"/>
    <cellStyle name="40% - Accent1 5 2 6 2" xfId="12686"/>
    <cellStyle name="40% - Accent1 5 2 6 2 2" xfId="26398"/>
    <cellStyle name="40% - Accent1 5 2 6 3" xfId="20309"/>
    <cellStyle name="40% - Accent1 5 2 7" xfId="2986"/>
    <cellStyle name="40% - Accent1 5 2 7 2" xfId="13544"/>
    <cellStyle name="40% - Accent1 5 2 7 2 2" xfId="27093"/>
    <cellStyle name="40% - Accent1 5 2 7 3" xfId="20310"/>
    <cellStyle name="40% - Accent1 5 2 8" xfId="2987"/>
    <cellStyle name="40% - Accent1 5 2 8 2" xfId="14125"/>
    <cellStyle name="40% - Accent1 5 2 8 2 2" xfId="27674"/>
    <cellStyle name="40% - Accent1 5 2 8 3" xfId="20311"/>
    <cellStyle name="40% - Accent1 5 2 9" xfId="2988"/>
    <cellStyle name="40% - Accent1 5 2 9 2" xfId="15130"/>
    <cellStyle name="40% - Accent1 5 2 9 2 2" xfId="28679"/>
    <cellStyle name="40% - Accent1 5 2 9 3" xfId="20312"/>
    <cellStyle name="40% - Accent1 5 3" xfId="2989"/>
    <cellStyle name="40% - Accent1 5 3 10" xfId="9249"/>
    <cellStyle name="40% - Accent1 5 3 10 2" xfId="23724"/>
    <cellStyle name="40% - Accent1 5 3 11" xfId="20313"/>
    <cellStyle name="40% - Accent1 5 3 2" xfId="2990"/>
    <cellStyle name="40% - Accent1 5 3 2 2" xfId="2991"/>
    <cellStyle name="40% - Accent1 5 3 2 2 2" xfId="10976"/>
    <cellStyle name="40% - Accent1 5 3 2 2 2 2" xfId="24918"/>
    <cellStyle name="40% - Accent1 5 3 2 2 3" xfId="20315"/>
    <cellStyle name="40% - Accent1 5 3 2 3" xfId="2992"/>
    <cellStyle name="40% - Accent1 5 3 2 3 2" xfId="12727"/>
    <cellStyle name="40% - Accent1 5 3 2 3 2 2" xfId="26439"/>
    <cellStyle name="40% - Accent1 5 3 2 3 3" xfId="20316"/>
    <cellStyle name="40% - Accent1 5 3 2 4" xfId="2993"/>
    <cellStyle name="40% - Accent1 5 3 2 4 2" xfId="15137"/>
    <cellStyle name="40% - Accent1 5 3 2 4 2 2" xfId="28686"/>
    <cellStyle name="40% - Accent1 5 3 2 4 3" xfId="20317"/>
    <cellStyle name="40% - Accent1 5 3 2 5" xfId="2994"/>
    <cellStyle name="40% - Accent1 5 3 2 5 2" xfId="16741"/>
    <cellStyle name="40% - Accent1 5 3 2 5 2 2" xfId="30148"/>
    <cellStyle name="40% - Accent1 5 3 2 5 3" xfId="20318"/>
    <cellStyle name="40% - Accent1 5 3 2 6" xfId="9250"/>
    <cellStyle name="40% - Accent1 5 3 2 6 2" xfId="23725"/>
    <cellStyle name="40% - Accent1 5 3 2 7" xfId="20314"/>
    <cellStyle name="40% - Accent1 5 3 3" xfId="2995"/>
    <cellStyle name="40% - Accent1 5 3 3 2" xfId="2996"/>
    <cellStyle name="40% - Accent1 5 3 3 2 2" xfId="15138"/>
    <cellStyle name="40% - Accent1 5 3 3 2 2 2" xfId="28687"/>
    <cellStyle name="40% - Accent1 5 3 3 2 3" xfId="20320"/>
    <cellStyle name="40% - Accent1 5 3 3 3" xfId="10975"/>
    <cellStyle name="40% - Accent1 5 3 3 3 2" xfId="24917"/>
    <cellStyle name="40% - Accent1 5 3 3 4" xfId="20319"/>
    <cellStyle name="40% - Accent1 5 3 4" xfId="2997"/>
    <cellStyle name="40% - Accent1 5 3 4 2" xfId="12129"/>
    <cellStyle name="40% - Accent1 5 3 4 2 2" xfId="25841"/>
    <cellStyle name="40% - Accent1 5 3 4 3" xfId="20321"/>
    <cellStyle name="40% - Accent1 5 3 5" xfId="2998"/>
    <cellStyle name="40% - Accent1 5 3 5 2" xfId="12732"/>
    <cellStyle name="40% - Accent1 5 3 5 2 2" xfId="26444"/>
    <cellStyle name="40% - Accent1 5 3 5 3" xfId="20322"/>
    <cellStyle name="40% - Accent1 5 3 6" xfId="2999"/>
    <cellStyle name="40% - Accent1 5 3 6 2" xfId="13693"/>
    <cellStyle name="40% - Accent1 5 3 6 2 2" xfId="27242"/>
    <cellStyle name="40% - Accent1 5 3 6 3" xfId="20323"/>
    <cellStyle name="40% - Accent1 5 3 7" xfId="3000"/>
    <cellStyle name="40% - Accent1 5 3 7 2" xfId="14274"/>
    <cellStyle name="40% - Accent1 5 3 7 2 2" xfId="27823"/>
    <cellStyle name="40% - Accent1 5 3 7 3" xfId="20324"/>
    <cellStyle name="40% - Accent1 5 3 8" xfId="3001"/>
    <cellStyle name="40% - Accent1 5 3 8 2" xfId="15136"/>
    <cellStyle name="40% - Accent1 5 3 8 2 2" xfId="28685"/>
    <cellStyle name="40% - Accent1 5 3 8 3" xfId="20325"/>
    <cellStyle name="40% - Accent1 5 3 9" xfId="3002"/>
    <cellStyle name="40% - Accent1 5 3 9 2" xfId="16160"/>
    <cellStyle name="40% - Accent1 5 3 9 2 2" xfId="29567"/>
    <cellStyle name="40% - Accent1 5 3 9 3" xfId="20326"/>
    <cellStyle name="40% - Accent1 5 4" xfId="3003"/>
    <cellStyle name="40% - Accent1 5 4 2" xfId="3004"/>
    <cellStyle name="40% - Accent1 5 4 2 2" xfId="10977"/>
    <cellStyle name="40% - Accent1 5 4 2 2 2" xfId="24919"/>
    <cellStyle name="40% - Accent1 5 4 2 3" xfId="20328"/>
    <cellStyle name="40% - Accent1 5 4 3" xfId="3005"/>
    <cellStyle name="40% - Accent1 5 4 3 2" xfId="12524"/>
    <cellStyle name="40% - Accent1 5 4 3 2 2" xfId="26236"/>
    <cellStyle name="40% - Accent1 5 4 3 3" xfId="20329"/>
    <cellStyle name="40% - Accent1 5 4 4" xfId="3006"/>
    <cellStyle name="40% - Accent1 5 4 4 2" xfId="15139"/>
    <cellStyle name="40% - Accent1 5 4 4 2 2" xfId="28688"/>
    <cellStyle name="40% - Accent1 5 4 4 3" xfId="20330"/>
    <cellStyle name="40% - Accent1 5 4 5" xfId="3007"/>
    <cellStyle name="40% - Accent1 5 4 5 2" xfId="16449"/>
    <cellStyle name="40% - Accent1 5 4 5 2 2" xfId="29856"/>
    <cellStyle name="40% - Accent1 5 4 5 3" xfId="20331"/>
    <cellStyle name="40% - Accent1 5 4 6" xfId="9251"/>
    <cellStyle name="40% - Accent1 5 4 6 2" xfId="23726"/>
    <cellStyle name="40% - Accent1 5 4 7" xfId="20327"/>
    <cellStyle name="40% - Accent1 5 5" xfId="3008"/>
    <cellStyle name="40% - Accent1 5 5 2" xfId="3009"/>
    <cellStyle name="40% - Accent1 5 5 2 2" xfId="15140"/>
    <cellStyle name="40% - Accent1 5 5 2 2 2" xfId="28689"/>
    <cellStyle name="40% - Accent1 5 5 2 3" xfId="20333"/>
    <cellStyle name="40% - Accent1 5 5 3" xfId="10970"/>
    <cellStyle name="40% - Accent1 5 5 3 2" xfId="24912"/>
    <cellStyle name="40% - Accent1 5 5 4" xfId="20332"/>
    <cellStyle name="40% - Accent1 5 6" xfId="3010"/>
    <cellStyle name="40% - Accent1 5 6 2" xfId="11800"/>
    <cellStyle name="40% - Accent1 5 6 2 2" xfId="25515"/>
    <cellStyle name="40% - Accent1 5 6 3" xfId="20334"/>
    <cellStyle name="40% - Accent1 5 7" xfId="3011"/>
    <cellStyle name="40% - Accent1 5 7 2" xfId="12418"/>
    <cellStyle name="40% - Accent1 5 7 2 2" xfId="26130"/>
    <cellStyle name="40% - Accent1 5 7 3" xfId="20335"/>
    <cellStyle name="40% - Accent1 5 8" xfId="3012"/>
    <cellStyle name="40% - Accent1 5 8 2" xfId="13401"/>
    <cellStyle name="40% - Accent1 5 8 2 2" xfId="26950"/>
    <cellStyle name="40% - Accent1 5 8 3" xfId="20336"/>
    <cellStyle name="40% - Accent1 5 9" xfId="3013"/>
    <cellStyle name="40% - Accent1 5 9 2" xfId="13982"/>
    <cellStyle name="40% - Accent1 5 9 2 2" xfId="27531"/>
    <cellStyle name="40% - Accent1 5 9 3" xfId="20337"/>
    <cellStyle name="40% - Accent1 6" xfId="3014"/>
    <cellStyle name="40% - Accent1 6 10" xfId="3015"/>
    <cellStyle name="40% - Accent1 6 10 2" xfId="15141"/>
    <cellStyle name="40% - Accent1 6 10 2 2" xfId="28690"/>
    <cellStyle name="40% - Accent1 6 10 3" xfId="20339"/>
    <cellStyle name="40% - Accent1 6 11" xfId="3016"/>
    <cellStyle name="40% - Accent1 6 11 2" xfId="15974"/>
    <cellStyle name="40% - Accent1 6 11 2 2" xfId="29381"/>
    <cellStyle name="40% - Accent1 6 11 3" xfId="20340"/>
    <cellStyle name="40% - Accent1 6 12" xfId="9252"/>
    <cellStyle name="40% - Accent1 6 12 2" xfId="23727"/>
    <cellStyle name="40% - Accent1 6 13" xfId="20338"/>
    <cellStyle name="40% - Accent1 6 2" xfId="3017"/>
    <cellStyle name="40% - Accent1 6 2 10" xfId="3018"/>
    <cellStyle name="40% - Accent1 6 2 10 2" xfId="16117"/>
    <cellStyle name="40% - Accent1 6 2 10 2 2" xfId="29524"/>
    <cellStyle name="40% - Accent1 6 2 10 3" xfId="20342"/>
    <cellStyle name="40% - Accent1 6 2 11" xfId="9253"/>
    <cellStyle name="40% - Accent1 6 2 11 2" xfId="23728"/>
    <cellStyle name="40% - Accent1 6 2 12" xfId="20341"/>
    <cellStyle name="40% - Accent1 6 2 2" xfId="3019"/>
    <cellStyle name="40% - Accent1 6 2 2 10" xfId="9254"/>
    <cellStyle name="40% - Accent1 6 2 2 10 2" xfId="23729"/>
    <cellStyle name="40% - Accent1 6 2 2 11" xfId="20343"/>
    <cellStyle name="40% - Accent1 6 2 2 2" xfId="3020"/>
    <cellStyle name="40% - Accent1 6 2 2 2 2" xfId="3021"/>
    <cellStyle name="40% - Accent1 6 2 2 2 2 2" xfId="10981"/>
    <cellStyle name="40% - Accent1 6 2 2 2 2 2 2" xfId="24923"/>
    <cellStyle name="40% - Accent1 6 2 2 2 2 3" xfId="20345"/>
    <cellStyle name="40% - Accent1 6 2 2 2 3" xfId="3022"/>
    <cellStyle name="40% - Accent1 6 2 2 2 3 2" xfId="12505"/>
    <cellStyle name="40% - Accent1 6 2 2 2 3 2 2" xfId="26217"/>
    <cellStyle name="40% - Accent1 6 2 2 2 3 3" xfId="20346"/>
    <cellStyle name="40% - Accent1 6 2 2 2 4" xfId="3023"/>
    <cellStyle name="40% - Accent1 6 2 2 2 4 2" xfId="15144"/>
    <cellStyle name="40% - Accent1 6 2 2 2 4 2 2" xfId="28693"/>
    <cellStyle name="40% - Accent1 6 2 2 2 4 3" xfId="20347"/>
    <cellStyle name="40% - Accent1 6 2 2 2 5" xfId="3024"/>
    <cellStyle name="40% - Accent1 6 2 2 2 5 2" xfId="16987"/>
    <cellStyle name="40% - Accent1 6 2 2 2 5 2 2" xfId="30394"/>
    <cellStyle name="40% - Accent1 6 2 2 2 5 3" xfId="20348"/>
    <cellStyle name="40% - Accent1 6 2 2 2 6" xfId="9255"/>
    <cellStyle name="40% - Accent1 6 2 2 2 6 2" xfId="23730"/>
    <cellStyle name="40% - Accent1 6 2 2 2 7" xfId="20344"/>
    <cellStyle name="40% - Accent1 6 2 2 3" xfId="3025"/>
    <cellStyle name="40% - Accent1 6 2 2 3 2" xfId="3026"/>
    <cellStyle name="40% - Accent1 6 2 2 3 2 2" xfId="15145"/>
    <cellStyle name="40% - Accent1 6 2 2 3 2 2 2" xfId="28694"/>
    <cellStyle name="40% - Accent1 6 2 2 3 2 3" xfId="20350"/>
    <cellStyle name="40% - Accent1 6 2 2 3 3" xfId="10980"/>
    <cellStyle name="40% - Accent1 6 2 2 3 3 2" xfId="24922"/>
    <cellStyle name="40% - Accent1 6 2 2 3 4" xfId="20349"/>
    <cellStyle name="40% - Accent1 6 2 2 4" xfId="3027"/>
    <cellStyle name="40% - Accent1 6 2 2 4 2" xfId="12375"/>
    <cellStyle name="40% - Accent1 6 2 2 4 2 2" xfId="26087"/>
    <cellStyle name="40% - Accent1 6 2 2 4 3" xfId="20351"/>
    <cellStyle name="40% - Accent1 6 2 2 5" xfId="3028"/>
    <cellStyle name="40% - Accent1 6 2 2 5 2" xfId="12704"/>
    <cellStyle name="40% - Accent1 6 2 2 5 2 2" xfId="26416"/>
    <cellStyle name="40% - Accent1 6 2 2 5 3" xfId="20352"/>
    <cellStyle name="40% - Accent1 6 2 2 6" xfId="3029"/>
    <cellStyle name="40% - Accent1 6 2 2 6 2" xfId="13939"/>
    <cellStyle name="40% - Accent1 6 2 2 6 2 2" xfId="27488"/>
    <cellStyle name="40% - Accent1 6 2 2 6 3" xfId="20353"/>
    <cellStyle name="40% - Accent1 6 2 2 7" xfId="3030"/>
    <cellStyle name="40% - Accent1 6 2 2 7 2" xfId="14520"/>
    <cellStyle name="40% - Accent1 6 2 2 7 2 2" xfId="28069"/>
    <cellStyle name="40% - Accent1 6 2 2 7 3" xfId="20354"/>
    <cellStyle name="40% - Accent1 6 2 2 8" xfId="3031"/>
    <cellStyle name="40% - Accent1 6 2 2 8 2" xfId="15143"/>
    <cellStyle name="40% - Accent1 6 2 2 8 2 2" xfId="28692"/>
    <cellStyle name="40% - Accent1 6 2 2 8 3" xfId="20355"/>
    <cellStyle name="40% - Accent1 6 2 2 9" xfId="3032"/>
    <cellStyle name="40% - Accent1 6 2 2 9 2" xfId="16406"/>
    <cellStyle name="40% - Accent1 6 2 2 9 2 2" xfId="29813"/>
    <cellStyle name="40% - Accent1 6 2 2 9 3" xfId="20356"/>
    <cellStyle name="40% - Accent1 6 2 3" xfId="3033"/>
    <cellStyle name="40% - Accent1 6 2 3 2" xfId="3034"/>
    <cellStyle name="40% - Accent1 6 2 3 2 2" xfId="10982"/>
    <cellStyle name="40% - Accent1 6 2 3 2 2 2" xfId="24924"/>
    <cellStyle name="40% - Accent1 6 2 3 2 3" xfId="20358"/>
    <cellStyle name="40% - Accent1 6 2 3 3" xfId="3035"/>
    <cellStyle name="40% - Accent1 6 2 3 3 2" xfId="11833"/>
    <cellStyle name="40% - Accent1 6 2 3 3 2 2" xfId="25548"/>
    <cellStyle name="40% - Accent1 6 2 3 3 3" xfId="20359"/>
    <cellStyle name="40% - Accent1 6 2 3 4" xfId="3036"/>
    <cellStyle name="40% - Accent1 6 2 3 4 2" xfId="15146"/>
    <cellStyle name="40% - Accent1 6 2 3 4 2 2" xfId="28695"/>
    <cellStyle name="40% - Accent1 6 2 3 4 3" xfId="20360"/>
    <cellStyle name="40% - Accent1 6 2 3 5" xfId="3037"/>
    <cellStyle name="40% - Accent1 6 2 3 5 2" xfId="16698"/>
    <cellStyle name="40% - Accent1 6 2 3 5 2 2" xfId="30105"/>
    <cellStyle name="40% - Accent1 6 2 3 5 3" xfId="20361"/>
    <cellStyle name="40% - Accent1 6 2 3 6" xfId="9256"/>
    <cellStyle name="40% - Accent1 6 2 3 6 2" xfId="23731"/>
    <cellStyle name="40% - Accent1 6 2 3 7" xfId="20357"/>
    <cellStyle name="40% - Accent1 6 2 4" xfId="3038"/>
    <cellStyle name="40% - Accent1 6 2 4 2" xfId="3039"/>
    <cellStyle name="40% - Accent1 6 2 4 2 2" xfId="15147"/>
    <cellStyle name="40% - Accent1 6 2 4 2 2 2" xfId="28696"/>
    <cellStyle name="40% - Accent1 6 2 4 2 3" xfId="20363"/>
    <cellStyle name="40% - Accent1 6 2 4 3" xfId="10979"/>
    <cellStyle name="40% - Accent1 6 2 4 3 2" xfId="24921"/>
    <cellStyle name="40% - Accent1 6 2 4 4" xfId="20362"/>
    <cellStyle name="40% - Accent1 6 2 5" xfId="3040"/>
    <cellStyle name="40% - Accent1 6 2 5 2" xfId="12075"/>
    <cellStyle name="40% - Accent1 6 2 5 2 2" xfId="25790"/>
    <cellStyle name="40% - Accent1 6 2 5 3" xfId="20364"/>
    <cellStyle name="40% - Accent1 6 2 6" xfId="3041"/>
    <cellStyle name="40% - Accent1 6 2 6 2" xfId="12703"/>
    <cellStyle name="40% - Accent1 6 2 6 2 2" xfId="26415"/>
    <cellStyle name="40% - Accent1 6 2 6 3" xfId="20365"/>
    <cellStyle name="40% - Accent1 6 2 7" xfId="3042"/>
    <cellStyle name="40% - Accent1 6 2 7 2" xfId="13650"/>
    <cellStyle name="40% - Accent1 6 2 7 2 2" xfId="27199"/>
    <cellStyle name="40% - Accent1 6 2 7 3" xfId="20366"/>
    <cellStyle name="40% - Accent1 6 2 8" xfId="3043"/>
    <cellStyle name="40% - Accent1 6 2 8 2" xfId="14231"/>
    <cellStyle name="40% - Accent1 6 2 8 2 2" xfId="27780"/>
    <cellStyle name="40% - Accent1 6 2 8 3" xfId="20367"/>
    <cellStyle name="40% - Accent1 6 2 9" xfId="3044"/>
    <cellStyle name="40% - Accent1 6 2 9 2" xfId="15142"/>
    <cellStyle name="40% - Accent1 6 2 9 2 2" xfId="28691"/>
    <cellStyle name="40% - Accent1 6 2 9 3" xfId="20368"/>
    <cellStyle name="40% - Accent1 6 3" xfId="3045"/>
    <cellStyle name="40% - Accent1 6 3 10" xfId="9257"/>
    <cellStyle name="40% - Accent1 6 3 10 2" xfId="23732"/>
    <cellStyle name="40% - Accent1 6 3 11" xfId="20369"/>
    <cellStyle name="40% - Accent1 6 3 2" xfId="3046"/>
    <cellStyle name="40% - Accent1 6 3 2 2" xfId="3047"/>
    <cellStyle name="40% - Accent1 6 3 2 2 2" xfId="10984"/>
    <cellStyle name="40% - Accent1 6 3 2 2 2 2" xfId="24926"/>
    <cellStyle name="40% - Accent1 6 3 2 2 3" xfId="20371"/>
    <cellStyle name="40% - Accent1 6 3 2 3" xfId="3048"/>
    <cellStyle name="40% - Accent1 6 3 2 3 2" xfId="12530"/>
    <cellStyle name="40% - Accent1 6 3 2 3 2 2" xfId="26242"/>
    <cellStyle name="40% - Accent1 6 3 2 3 3" xfId="20372"/>
    <cellStyle name="40% - Accent1 6 3 2 4" xfId="3049"/>
    <cellStyle name="40% - Accent1 6 3 2 4 2" xfId="15149"/>
    <cellStyle name="40% - Accent1 6 3 2 4 2 2" xfId="28698"/>
    <cellStyle name="40% - Accent1 6 3 2 4 3" xfId="20373"/>
    <cellStyle name="40% - Accent1 6 3 2 5" xfId="3050"/>
    <cellStyle name="40% - Accent1 6 3 2 5 2" xfId="16844"/>
    <cellStyle name="40% - Accent1 6 3 2 5 2 2" xfId="30251"/>
    <cellStyle name="40% - Accent1 6 3 2 5 3" xfId="20374"/>
    <cellStyle name="40% - Accent1 6 3 2 6" xfId="9258"/>
    <cellStyle name="40% - Accent1 6 3 2 6 2" xfId="23733"/>
    <cellStyle name="40% - Accent1 6 3 2 7" xfId="20370"/>
    <cellStyle name="40% - Accent1 6 3 3" xfId="3051"/>
    <cellStyle name="40% - Accent1 6 3 3 2" xfId="3052"/>
    <cellStyle name="40% - Accent1 6 3 3 2 2" xfId="15150"/>
    <cellStyle name="40% - Accent1 6 3 3 2 2 2" xfId="28699"/>
    <cellStyle name="40% - Accent1 6 3 3 2 3" xfId="20376"/>
    <cellStyle name="40% - Accent1 6 3 3 3" xfId="10983"/>
    <cellStyle name="40% - Accent1 6 3 3 3 2" xfId="24925"/>
    <cellStyle name="40% - Accent1 6 3 3 4" xfId="20375"/>
    <cellStyle name="40% - Accent1 6 3 4" xfId="3053"/>
    <cellStyle name="40% - Accent1 6 3 4 2" xfId="12232"/>
    <cellStyle name="40% - Accent1 6 3 4 2 2" xfId="25944"/>
    <cellStyle name="40% - Accent1 6 3 4 3" xfId="20377"/>
    <cellStyle name="40% - Accent1 6 3 5" xfId="3054"/>
    <cellStyle name="40% - Accent1 6 3 5 2" xfId="12437"/>
    <cellStyle name="40% - Accent1 6 3 5 2 2" xfId="26149"/>
    <cellStyle name="40% - Accent1 6 3 5 3" xfId="20378"/>
    <cellStyle name="40% - Accent1 6 3 6" xfId="3055"/>
    <cellStyle name="40% - Accent1 6 3 6 2" xfId="13796"/>
    <cellStyle name="40% - Accent1 6 3 6 2 2" xfId="27345"/>
    <cellStyle name="40% - Accent1 6 3 6 3" xfId="20379"/>
    <cellStyle name="40% - Accent1 6 3 7" xfId="3056"/>
    <cellStyle name="40% - Accent1 6 3 7 2" xfId="14377"/>
    <cellStyle name="40% - Accent1 6 3 7 2 2" xfId="27926"/>
    <cellStyle name="40% - Accent1 6 3 7 3" xfId="20380"/>
    <cellStyle name="40% - Accent1 6 3 8" xfId="3057"/>
    <cellStyle name="40% - Accent1 6 3 8 2" xfId="15148"/>
    <cellStyle name="40% - Accent1 6 3 8 2 2" xfId="28697"/>
    <cellStyle name="40% - Accent1 6 3 8 3" xfId="20381"/>
    <cellStyle name="40% - Accent1 6 3 9" xfId="3058"/>
    <cellStyle name="40% - Accent1 6 3 9 2" xfId="16263"/>
    <cellStyle name="40% - Accent1 6 3 9 2 2" xfId="29670"/>
    <cellStyle name="40% - Accent1 6 3 9 3" xfId="20382"/>
    <cellStyle name="40% - Accent1 6 4" xfId="3059"/>
    <cellStyle name="40% - Accent1 6 4 2" xfId="3060"/>
    <cellStyle name="40% - Accent1 6 4 2 2" xfId="10985"/>
    <cellStyle name="40% - Accent1 6 4 2 2 2" xfId="24927"/>
    <cellStyle name="40% - Accent1 6 4 2 3" xfId="20384"/>
    <cellStyle name="40% - Accent1 6 4 3" xfId="3061"/>
    <cellStyle name="40% - Accent1 6 4 3 2" xfId="12445"/>
    <cellStyle name="40% - Accent1 6 4 3 2 2" xfId="26157"/>
    <cellStyle name="40% - Accent1 6 4 3 3" xfId="20385"/>
    <cellStyle name="40% - Accent1 6 4 4" xfId="3062"/>
    <cellStyle name="40% - Accent1 6 4 4 2" xfId="15151"/>
    <cellStyle name="40% - Accent1 6 4 4 2 2" xfId="28700"/>
    <cellStyle name="40% - Accent1 6 4 4 3" xfId="20386"/>
    <cellStyle name="40% - Accent1 6 4 5" xfId="3063"/>
    <cellStyle name="40% - Accent1 6 4 5 2" xfId="16555"/>
    <cellStyle name="40% - Accent1 6 4 5 2 2" xfId="29962"/>
    <cellStyle name="40% - Accent1 6 4 5 3" xfId="20387"/>
    <cellStyle name="40% - Accent1 6 4 6" xfId="9259"/>
    <cellStyle name="40% - Accent1 6 4 6 2" xfId="23734"/>
    <cellStyle name="40% - Accent1 6 4 7" xfId="20383"/>
    <cellStyle name="40% - Accent1 6 5" xfId="3064"/>
    <cellStyle name="40% - Accent1 6 5 2" xfId="3065"/>
    <cellStyle name="40% - Accent1 6 5 2 2" xfId="15152"/>
    <cellStyle name="40% - Accent1 6 5 2 2 2" xfId="28701"/>
    <cellStyle name="40% - Accent1 6 5 2 3" xfId="20389"/>
    <cellStyle name="40% - Accent1 6 5 3" xfId="10978"/>
    <cellStyle name="40% - Accent1 6 5 3 2" xfId="24920"/>
    <cellStyle name="40% - Accent1 6 5 4" xfId="20388"/>
    <cellStyle name="40% - Accent1 6 6" xfId="3066"/>
    <cellStyle name="40% - Accent1 6 6 2" xfId="11930"/>
    <cellStyle name="40% - Accent1 6 6 2 2" xfId="25645"/>
    <cellStyle name="40% - Accent1 6 6 3" xfId="20390"/>
    <cellStyle name="40% - Accent1 6 7" xfId="3067"/>
    <cellStyle name="40% - Accent1 6 7 2" xfId="12421"/>
    <cellStyle name="40% - Accent1 6 7 2 2" xfId="26133"/>
    <cellStyle name="40% - Accent1 6 7 3" xfId="20391"/>
    <cellStyle name="40% - Accent1 6 8" xfId="3068"/>
    <cellStyle name="40% - Accent1 6 8 2" xfId="13507"/>
    <cellStyle name="40% - Accent1 6 8 2 2" xfId="27056"/>
    <cellStyle name="40% - Accent1 6 8 3" xfId="20392"/>
    <cellStyle name="40% - Accent1 6 9" xfId="3069"/>
    <cellStyle name="40% - Accent1 6 9 2" xfId="14088"/>
    <cellStyle name="40% - Accent1 6 9 2 2" xfId="27637"/>
    <cellStyle name="40% - Accent1 6 9 3" xfId="20393"/>
    <cellStyle name="40% - Accent1 7" xfId="3070"/>
    <cellStyle name="40% - Accent1 7 10" xfId="3071"/>
    <cellStyle name="40% - Accent1 7 10 2" xfId="15989"/>
    <cellStyle name="40% - Accent1 7 10 2 2" xfId="29396"/>
    <cellStyle name="40% - Accent1 7 10 3" xfId="20395"/>
    <cellStyle name="40% - Accent1 7 11" xfId="9260"/>
    <cellStyle name="40% - Accent1 7 11 2" xfId="23735"/>
    <cellStyle name="40% - Accent1 7 12" xfId="20394"/>
    <cellStyle name="40% - Accent1 7 2" xfId="3072"/>
    <cellStyle name="40% - Accent1 7 2 10" xfId="9261"/>
    <cellStyle name="40% - Accent1 7 2 10 2" xfId="23736"/>
    <cellStyle name="40% - Accent1 7 2 11" xfId="20396"/>
    <cellStyle name="40% - Accent1 7 2 2" xfId="3073"/>
    <cellStyle name="40% - Accent1 7 2 2 2" xfId="3074"/>
    <cellStyle name="40% - Accent1 7 2 2 2 2" xfId="10988"/>
    <cellStyle name="40% - Accent1 7 2 2 2 2 2" xfId="24930"/>
    <cellStyle name="40% - Accent1 7 2 2 2 3" xfId="20398"/>
    <cellStyle name="40% - Accent1 7 2 2 3" xfId="3075"/>
    <cellStyle name="40% - Accent1 7 2 2 3 2" xfId="12408"/>
    <cellStyle name="40% - Accent1 7 2 2 3 2 2" xfId="26120"/>
    <cellStyle name="40% - Accent1 7 2 2 3 3" xfId="20399"/>
    <cellStyle name="40% - Accent1 7 2 2 4" xfId="3076"/>
    <cellStyle name="40% - Accent1 7 2 2 4 2" xfId="15155"/>
    <cellStyle name="40% - Accent1 7 2 2 4 2 2" xfId="28704"/>
    <cellStyle name="40% - Accent1 7 2 2 4 3" xfId="20400"/>
    <cellStyle name="40% - Accent1 7 2 2 5" xfId="3077"/>
    <cellStyle name="40% - Accent1 7 2 2 5 2" xfId="16859"/>
    <cellStyle name="40% - Accent1 7 2 2 5 2 2" xfId="30266"/>
    <cellStyle name="40% - Accent1 7 2 2 5 3" xfId="20401"/>
    <cellStyle name="40% - Accent1 7 2 2 6" xfId="9262"/>
    <cellStyle name="40% - Accent1 7 2 2 6 2" xfId="23737"/>
    <cellStyle name="40% - Accent1 7 2 2 7" xfId="20397"/>
    <cellStyle name="40% - Accent1 7 2 3" xfId="3078"/>
    <cellStyle name="40% - Accent1 7 2 3 2" xfId="3079"/>
    <cellStyle name="40% - Accent1 7 2 3 2 2" xfId="15156"/>
    <cellStyle name="40% - Accent1 7 2 3 2 2 2" xfId="28705"/>
    <cellStyle name="40% - Accent1 7 2 3 2 3" xfId="20403"/>
    <cellStyle name="40% - Accent1 7 2 3 3" xfId="10987"/>
    <cellStyle name="40% - Accent1 7 2 3 3 2" xfId="24929"/>
    <cellStyle name="40% - Accent1 7 2 3 4" xfId="20402"/>
    <cellStyle name="40% - Accent1 7 2 4" xfId="3080"/>
    <cellStyle name="40% - Accent1 7 2 4 2" xfId="12247"/>
    <cellStyle name="40% - Accent1 7 2 4 2 2" xfId="25959"/>
    <cellStyle name="40% - Accent1 7 2 4 3" xfId="20404"/>
    <cellStyle name="40% - Accent1 7 2 5" xfId="3081"/>
    <cellStyle name="40% - Accent1 7 2 5 2" xfId="12782"/>
    <cellStyle name="40% - Accent1 7 2 5 2 2" xfId="26494"/>
    <cellStyle name="40% - Accent1 7 2 5 3" xfId="20405"/>
    <cellStyle name="40% - Accent1 7 2 6" xfId="3082"/>
    <cellStyle name="40% - Accent1 7 2 6 2" xfId="13811"/>
    <cellStyle name="40% - Accent1 7 2 6 2 2" xfId="27360"/>
    <cellStyle name="40% - Accent1 7 2 6 3" xfId="20406"/>
    <cellStyle name="40% - Accent1 7 2 7" xfId="3083"/>
    <cellStyle name="40% - Accent1 7 2 7 2" xfId="14392"/>
    <cellStyle name="40% - Accent1 7 2 7 2 2" xfId="27941"/>
    <cellStyle name="40% - Accent1 7 2 7 3" xfId="20407"/>
    <cellStyle name="40% - Accent1 7 2 8" xfId="3084"/>
    <cellStyle name="40% - Accent1 7 2 8 2" xfId="15154"/>
    <cellStyle name="40% - Accent1 7 2 8 2 2" xfId="28703"/>
    <cellStyle name="40% - Accent1 7 2 8 3" xfId="20408"/>
    <cellStyle name="40% - Accent1 7 2 9" xfId="3085"/>
    <cellStyle name="40% - Accent1 7 2 9 2" xfId="16278"/>
    <cellStyle name="40% - Accent1 7 2 9 2 2" xfId="29685"/>
    <cellStyle name="40% - Accent1 7 2 9 3" xfId="20409"/>
    <cellStyle name="40% - Accent1 7 3" xfId="3086"/>
    <cellStyle name="40% - Accent1 7 3 2" xfId="3087"/>
    <cellStyle name="40% - Accent1 7 3 2 2" xfId="10989"/>
    <cellStyle name="40% - Accent1 7 3 2 2 2" xfId="24931"/>
    <cellStyle name="40% - Accent1 7 3 2 3" xfId="20411"/>
    <cellStyle name="40% - Accent1 7 3 3" xfId="3088"/>
    <cellStyle name="40% - Accent1 7 3 3 2" xfId="12444"/>
    <cellStyle name="40% - Accent1 7 3 3 2 2" xfId="26156"/>
    <cellStyle name="40% - Accent1 7 3 3 3" xfId="20412"/>
    <cellStyle name="40% - Accent1 7 3 4" xfId="3089"/>
    <cellStyle name="40% - Accent1 7 3 4 2" xfId="15157"/>
    <cellStyle name="40% - Accent1 7 3 4 2 2" xfId="28706"/>
    <cellStyle name="40% - Accent1 7 3 4 3" xfId="20413"/>
    <cellStyle name="40% - Accent1 7 3 5" xfId="3090"/>
    <cellStyle name="40% - Accent1 7 3 5 2" xfId="16570"/>
    <cellStyle name="40% - Accent1 7 3 5 2 2" xfId="29977"/>
    <cellStyle name="40% - Accent1 7 3 5 3" xfId="20414"/>
    <cellStyle name="40% - Accent1 7 3 6" xfId="9263"/>
    <cellStyle name="40% - Accent1 7 3 6 2" xfId="23738"/>
    <cellStyle name="40% - Accent1 7 3 7" xfId="20410"/>
    <cellStyle name="40% - Accent1 7 4" xfId="3091"/>
    <cellStyle name="40% - Accent1 7 4 2" xfId="3092"/>
    <cellStyle name="40% - Accent1 7 4 2 2" xfId="15158"/>
    <cellStyle name="40% - Accent1 7 4 2 2 2" xfId="28707"/>
    <cellStyle name="40% - Accent1 7 4 2 3" xfId="20416"/>
    <cellStyle name="40% - Accent1 7 4 3" xfId="10986"/>
    <cellStyle name="40% - Accent1 7 4 3 2" xfId="24928"/>
    <cellStyle name="40% - Accent1 7 4 4" xfId="20415"/>
    <cellStyle name="40% - Accent1 7 5" xfId="3093"/>
    <cellStyle name="40% - Accent1 7 5 2" xfId="11945"/>
    <cellStyle name="40% - Accent1 7 5 2 2" xfId="25660"/>
    <cellStyle name="40% - Accent1 7 5 3" xfId="20417"/>
    <cellStyle name="40% - Accent1 7 6" xfId="3094"/>
    <cellStyle name="40% - Accent1 7 6 2" xfId="12737"/>
    <cellStyle name="40% - Accent1 7 6 2 2" xfId="26449"/>
    <cellStyle name="40% - Accent1 7 6 3" xfId="20418"/>
    <cellStyle name="40% - Accent1 7 7" xfId="3095"/>
    <cellStyle name="40% - Accent1 7 7 2" xfId="13522"/>
    <cellStyle name="40% - Accent1 7 7 2 2" xfId="27071"/>
    <cellStyle name="40% - Accent1 7 7 3" xfId="20419"/>
    <cellStyle name="40% - Accent1 7 8" xfId="3096"/>
    <cellStyle name="40% - Accent1 7 8 2" xfId="14103"/>
    <cellStyle name="40% - Accent1 7 8 2 2" xfId="27652"/>
    <cellStyle name="40% - Accent1 7 8 3" xfId="20420"/>
    <cellStyle name="40% - Accent1 7 9" xfId="3097"/>
    <cellStyle name="40% - Accent1 7 9 2" xfId="15153"/>
    <cellStyle name="40% - Accent1 7 9 2 2" xfId="28702"/>
    <cellStyle name="40% - Accent1 7 9 3" xfId="20421"/>
    <cellStyle name="40% - Accent1 8" xfId="3098"/>
    <cellStyle name="40% - Accent1 8 10" xfId="9264"/>
    <cellStyle name="40% - Accent1 8 10 2" xfId="23739"/>
    <cellStyle name="40% - Accent1 8 11" xfId="20422"/>
    <cellStyle name="40% - Accent1 8 2" xfId="3099"/>
    <cellStyle name="40% - Accent1 8 2 2" xfId="3100"/>
    <cellStyle name="40% - Accent1 8 2 2 2" xfId="10991"/>
    <cellStyle name="40% - Accent1 8 2 2 2 2" xfId="24933"/>
    <cellStyle name="40% - Accent1 8 2 2 3" xfId="20424"/>
    <cellStyle name="40% - Accent1 8 2 3" xfId="3101"/>
    <cellStyle name="40% - Accent1 8 2 3 2" xfId="12764"/>
    <cellStyle name="40% - Accent1 8 2 3 2 2" xfId="26476"/>
    <cellStyle name="40% - Accent1 8 2 3 3" xfId="20425"/>
    <cellStyle name="40% - Accent1 8 2 4" xfId="3102"/>
    <cellStyle name="40% - Accent1 8 2 4 2" xfId="15160"/>
    <cellStyle name="40% - Accent1 8 2 4 2 2" xfId="28709"/>
    <cellStyle name="40% - Accent1 8 2 4 3" xfId="20426"/>
    <cellStyle name="40% - Accent1 8 2 5" xfId="3103"/>
    <cellStyle name="40% - Accent1 8 2 5 2" xfId="16718"/>
    <cellStyle name="40% - Accent1 8 2 5 2 2" xfId="30125"/>
    <cellStyle name="40% - Accent1 8 2 5 3" xfId="20427"/>
    <cellStyle name="40% - Accent1 8 2 6" xfId="9265"/>
    <cellStyle name="40% - Accent1 8 2 6 2" xfId="23740"/>
    <cellStyle name="40% - Accent1 8 2 7" xfId="20423"/>
    <cellStyle name="40% - Accent1 8 3" xfId="3104"/>
    <cellStyle name="40% - Accent1 8 3 2" xfId="3105"/>
    <cellStyle name="40% - Accent1 8 3 2 2" xfId="15161"/>
    <cellStyle name="40% - Accent1 8 3 2 2 2" xfId="28710"/>
    <cellStyle name="40% - Accent1 8 3 2 3" xfId="20429"/>
    <cellStyle name="40% - Accent1 8 3 3" xfId="10990"/>
    <cellStyle name="40% - Accent1 8 3 3 2" xfId="24932"/>
    <cellStyle name="40% - Accent1 8 3 4" xfId="20428"/>
    <cellStyle name="40% - Accent1 8 4" xfId="3106"/>
    <cellStyle name="40% - Accent1 8 4 2" xfId="12096"/>
    <cellStyle name="40% - Accent1 8 4 2 2" xfId="25810"/>
    <cellStyle name="40% - Accent1 8 4 3" xfId="20430"/>
    <cellStyle name="40% - Accent1 8 5" xfId="3107"/>
    <cellStyle name="40% - Accent1 8 5 2" xfId="12513"/>
    <cellStyle name="40% - Accent1 8 5 2 2" xfId="26225"/>
    <cellStyle name="40% - Accent1 8 5 3" xfId="20431"/>
    <cellStyle name="40% - Accent1 8 6" xfId="3108"/>
    <cellStyle name="40% - Accent1 8 6 2" xfId="13670"/>
    <cellStyle name="40% - Accent1 8 6 2 2" xfId="27219"/>
    <cellStyle name="40% - Accent1 8 6 3" xfId="20432"/>
    <cellStyle name="40% - Accent1 8 7" xfId="3109"/>
    <cellStyle name="40% - Accent1 8 7 2" xfId="14251"/>
    <cellStyle name="40% - Accent1 8 7 2 2" xfId="27800"/>
    <cellStyle name="40% - Accent1 8 7 3" xfId="20433"/>
    <cellStyle name="40% - Accent1 8 8" xfId="3110"/>
    <cellStyle name="40% - Accent1 8 8 2" xfId="15159"/>
    <cellStyle name="40% - Accent1 8 8 2 2" xfId="28708"/>
    <cellStyle name="40% - Accent1 8 8 3" xfId="20434"/>
    <cellStyle name="40% - Accent1 8 9" xfId="3111"/>
    <cellStyle name="40% - Accent1 8 9 2" xfId="16137"/>
    <cellStyle name="40% - Accent1 8 9 2 2" xfId="29544"/>
    <cellStyle name="40% - Accent1 8 9 3" xfId="20435"/>
    <cellStyle name="40% - Accent1 9" xfId="3112"/>
    <cellStyle name="40% - Accent1 9 2" xfId="3113"/>
    <cellStyle name="40% - Accent1 9 2 2" xfId="10992"/>
    <cellStyle name="40% - Accent1 9 2 2 2" xfId="24934"/>
    <cellStyle name="40% - Accent1 9 2 3" xfId="20437"/>
    <cellStyle name="40% - Accent1 9 3" xfId="3114"/>
    <cellStyle name="40% - Accent1 9 3 2" xfId="11786"/>
    <cellStyle name="40% - Accent1 9 3 2 2" xfId="25501"/>
    <cellStyle name="40% - Accent1 9 3 3" xfId="20438"/>
    <cellStyle name="40% - Accent1 9 4" xfId="3115"/>
    <cellStyle name="40% - Accent1 9 4 2" xfId="15162"/>
    <cellStyle name="40% - Accent1 9 4 2 2" xfId="28711"/>
    <cellStyle name="40% - Accent1 9 4 3" xfId="20439"/>
    <cellStyle name="40% - Accent1 9 5" xfId="3116"/>
    <cellStyle name="40% - Accent1 9 5 2" xfId="17102"/>
    <cellStyle name="40% - Accent1 9 5 2 2" xfId="30461"/>
    <cellStyle name="40% - Accent1 9 5 3" xfId="20440"/>
    <cellStyle name="40% - Accent1 9 6" xfId="9266"/>
    <cellStyle name="40% - Accent1 9 6 2" xfId="23741"/>
    <cellStyle name="40% - Accent1 9 7" xfId="20436"/>
    <cellStyle name="40% - Accent2" xfId="33" builtinId="35" customBuiltin="1"/>
    <cellStyle name="40% - Accent2 10" xfId="3117"/>
    <cellStyle name="40% - Accent2 10 2" xfId="3118"/>
    <cellStyle name="40% - Accent2 10 2 2" xfId="11770"/>
    <cellStyle name="40% - Accent2 10 2 2 2" xfId="25485"/>
    <cellStyle name="40% - Accent2 10 2 3" xfId="20443"/>
    <cellStyle name="40% - Accent2 10 3" xfId="3119"/>
    <cellStyle name="40% - Accent2 10 3 2" xfId="15163"/>
    <cellStyle name="40% - Accent2 10 3 2 2" xfId="28712"/>
    <cellStyle name="40% - Accent2 10 3 3" xfId="20444"/>
    <cellStyle name="40% - Accent2 10 4" xfId="3120"/>
    <cellStyle name="40% - Accent2 10 4 2" xfId="17192"/>
    <cellStyle name="40% - Accent2 10 4 2 2" xfId="30551"/>
    <cellStyle name="40% - Accent2 10 4 3" xfId="20445"/>
    <cellStyle name="40% - Accent2 10 5" xfId="10510"/>
    <cellStyle name="40% - Accent2 10 5 2" xfId="24458"/>
    <cellStyle name="40% - Accent2 10 6" xfId="20442"/>
    <cellStyle name="40% - Accent2 11" xfId="3121"/>
    <cellStyle name="40% - Accent2 11 2" xfId="3122"/>
    <cellStyle name="40% - Accent2 11 2 2" xfId="12606"/>
    <cellStyle name="40% - Accent2 11 2 2 2" xfId="26318"/>
    <cellStyle name="40% - Accent2 11 2 3" xfId="20447"/>
    <cellStyle name="40% - Accent2 11 3" xfId="3123"/>
    <cellStyle name="40% - Accent2 11 3 2" xfId="15164"/>
    <cellStyle name="40% - Accent2 11 3 2 2" xfId="28713"/>
    <cellStyle name="40% - Accent2 11 3 3" xfId="20448"/>
    <cellStyle name="40% - Accent2 11 4" xfId="3124"/>
    <cellStyle name="40% - Accent2 11 4 2" xfId="17281"/>
    <cellStyle name="40% - Accent2 11 4 2 2" xfId="30640"/>
    <cellStyle name="40% - Accent2 11 4 3" xfId="20449"/>
    <cellStyle name="40% - Accent2 11 5" xfId="10993"/>
    <cellStyle name="40% - Accent2 11 5 2" xfId="24935"/>
    <cellStyle name="40% - Accent2 11 6" xfId="20446"/>
    <cellStyle name="40% - Accent2 12" xfId="3125"/>
    <cellStyle name="40% - Accent2 12 2" xfId="3126"/>
    <cellStyle name="40% - Accent2 12 2 2" xfId="16433"/>
    <cellStyle name="40% - Accent2 12 2 2 2" xfId="29840"/>
    <cellStyle name="40% - Accent2 12 2 3" xfId="20451"/>
    <cellStyle name="40% - Accent2 12 3" xfId="11746"/>
    <cellStyle name="40% - Accent2 12 3 2" xfId="25461"/>
    <cellStyle name="40% - Accent2 12 4" xfId="20450"/>
    <cellStyle name="40% - Accent2 13" xfId="3127"/>
    <cellStyle name="40% - Accent2 13 2" xfId="13385"/>
    <cellStyle name="40% - Accent2 13 2 2" xfId="26934"/>
    <cellStyle name="40% - Accent2 13 3" xfId="20452"/>
    <cellStyle name="40% - Accent2 14" xfId="3128"/>
    <cellStyle name="40% - Accent2 14 2" xfId="13966"/>
    <cellStyle name="40% - Accent2 14 2 2" xfId="27515"/>
    <cellStyle name="40% - Accent2 14 3" xfId="20453"/>
    <cellStyle name="40% - Accent2 15" xfId="3129"/>
    <cellStyle name="40% - Accent2 15 2" xfId="15834"/>
    <cellStyle name="40% - Accent2 15 2 2" xfId="29241"/>
    <cellStyle name="40% - Accent2 15 3" xfId="20454"/>
    <cellStyle name="40% - Accent2 16" xfId="3130"/>
    <cellStyle name="40% - Accent2 16 2" xfId="15852"/>
    <cellStyle name="40% - Accent2 16 2 2" xfId="29259"/>
    <cellStyle name="40% - Accent2 16 3" xfId="20455"/>
    <cellStyle name="40% - Accent2 17" xfId="8816"/>
    <cellStyle name="40% - Accent2 17 2" xfId="23292"/>
    <cellStyle name="40% - Accent2 18" xfId="20441"/>
    <cellStyle name="40% - Accent2 2" xfId="3131"/>
    <cellStyle name="40% - Accent2 2 10" xfId="3132"/>
    <cellStyle name="40% - Accent2 2 10 2" xfId="15905"/>
    <cellStyle name="40% - Accent2 2 10 2 2" xfId="29312"/>
    <cellStyle name="40% - Accent2 2 10 3" xfId="20457"/>
    <cellStyle name="40% - Accent2 2 11" xfId="9267"/>
    <cellStyle name="40% - Accent2 2 11 2" xfId="23742"/>
    <cellStyle name="40% - Accent2 2 12" xfId="20456"/>
    <cellStyle name="40% - Accent2 2 13" xfId="33067"/>
    <cellStyle name="40% - Accent2 2 2" xfId="3133"/>
    <cellStyle name="40% - Accent2 2 2 10" xfId="20458"/>
    <cellStyle name="40% - Accent2 2 2 2" xfId="3134"/>
    <cellStyle name="40% - Accent2 2 2 2 2" xfId="3135"/>
    <cellStyle name="40% - Accent2 2 2 2 2 2" xfId="3136"/>
    <cellStyle name="40% - Accent2 2 2 2 2 2 2" xfId="3137"/>
    <cellStyle name="40% - Accent2 2 2 2 2 2 2 2" xfId="16964"/>
    <cellStyle name="40% - Accent2 2 2 2 2 2 2 2 2" xfId="30371"/>
    <cellStyle name="40% - Accent2 2 2 2 2 2 2 3" xfId="20462"/>
    <cellStyle name="40% - Accent2 2 2 2 2 2 3" xfId="10997"/>
    <cellStyle name="40% - Accent2 2 2 2 2 2 3 2" xfId="24939"/>
    <cellStyle name="40% - Accent2 2 2 2 2 2 4" xfId="20461"/>
    <cellStyle name="40% - Accent2 2 2 2 2 3" xfId="3138"/>
    <cellStyle name="40% - Accent2 2 2 2 2 3 2" xfId="12352"/>
    <cellStyle name="40% - Accent2 2 2 2 2 3 2 2" xfId="26064"/>
    <cellStyle name="40% - Accent2 2 2 2 2 3 3" xfId="20463"/>
    <cellStyle name="40% - Accent2 2 2 2 2 4" xfId="3139"/>
    <cellStyle name="40% - Accent2 2 2 2 2 4 2" xfId="13916"/>
    <cellStyle name="40% - Accent2 2 2 2 2 4 2 2" xfId="27465"/>
    <cellStyle name="40% - Accent2 2 2 2 2 4 3" xfId="20464"/>
    <cellStyle name="40% - Accent2 2 2 2 2 5" xfId="3140"/>
    <cellStyle name="40% - Accent2 2 2 2 2 5 2" xfId="14497"/>
    <cellStyle name="40% - Accent2 2 2 2 2 5 2 2" xfId="28046"/>
    <cellStyle name="40% - Accent2 2 2 2 2 5 3" xfId="20465"/>
    <cellStyle name="40% - Accent2 2 2 2 2 6" xfId="3141"/>
    <cellStyle name="40% - Accent2 2 2 2 2 6 2" xfId="16383"/>
    <cellStyle name="40% - Accent2 2 2 2 2 6 2 2" xfId="29790"/>
    <cellStyle name="40% - Accent2 2 2 2 2 6 3" xfId="20466"/>
    <cellStyle name="40% - Accent2 2 2 2 2 7" xfId="9270"/>
    <cellStyle name="40% - Accent2 2 2 2 2 7 2" xfId="23745"/>
    <cellStyle name="40% - Accent2 2 2 2 2 8" xfId="20460"/>
    <cellStyle name="40% - Accent2 2 2 2 3" xfId="3142"/>
    <cellStyle name="40% - Accent2 2 2 2 3 2" xfId="3143"/>
    <cellStyle name="40% - Accent2 2 2 2 3 2 2" xfId="16675"/>
    <cellStyle name="40% - Accent2 2 2 2 3 2 2 2" xfId="30082"/>
    <cellStyle name="40% - Accent2 2 2 2 3 2 3" xfId="20468"/>
    <cellStyle name="40% - Accent2 2 2 2 3 3" xfId="10996"/>
    <cellStyle name="40% - Accent2 2 2 2 3 3 2" xfId="24938"/>
    <cellStyle name="40% - Accent2 2 2 2 3 4" xfId="20467"/>
    <cellStyle name="40% - Accent2 2 2 2 4" xfId="3144"/>
    <cellStyle name="40% - Accent2 2 2 2 4 2" xfId="12052"/>
    <cellStyle name="40% - Accent2 2 2 2 4 2 2" xfId="25767"/>
    <cellStyle name="40% - Accent2 2 2 2 4 3" xfId="20469"/>
    <cellStyle name="40% - Accent2 2 2 2 5" xfId="3145"/>
    <cellStyle name="40% - Accent2 2 2 2 5 2" xfId="13627"/>
    <cellStyle name="40% - Accent2 2 2 2 5 2 2" xfId="27176"/>
    <cellStyle name="40% - Accent2 2 2 2 5 3" xfId="20470"/>
    <cellStyle name="40% - Accent2 2 2 2 6" xfId="3146"/>
    <cellStyle name="40% - Accent2 2 2 2 6 2" xfId="14208"/>
    <cellStyle name="40% - Accent2 2 2 2 6 2 2" xfId="27757"/>
    <cellStyle name="40% - Accent2 2 2 2 6 3" xfId="20471"/>
    <cellStyle name="40% - Accent2 2 2 2 7" xfId="3147"/>
    <cellStyle name="40% - Accent2 2 2 2 7 2" xfId="16094"/>
    <cellStyle name="40% - Accent2 2 2 2 7 2 2" xfId="29501"/>
    <cellStyle name="40% - Accent2 2 2 2 7 3" xfId="20472"/>
    <cellStyle name="40% - Accent2 2 2 2 8" xfId="9269"/>
    <cellStyle name="40% - Accent2 2 2 2 8 2" xfId="23744"/>
    <cellStyle name="40% - Accent2 2 2 2 9" xfId="20459"/>
    <cellStyle name="40% - Accent2 2 2 3" xfId="3148"/>
    <cellStyle name="40% - Accent2 2 2 3 2" xfId="3149"/>
    <cellStyle name="40% - Accent2 2 2 3 2 2" xfId="3150"/>
    <cellStyle name="40% - Accent2 2 2 3 2 2 2" xfId="16821"/>
    <cellStyle name="40% - Accent2 2 2 3 2 2 2 2" xfId="30228"/>
    <cellStyle name="40% - Accent2 2 2 3 2 2 3" xfId="20475"/>
    <cellStyle name="40% - Accent2 2 2 3 2 3" xfId="10998"/>
    <cellStyle name="40% - Accent2 2 2 3 2 3 2" xfId="24940"/>
    <cellStyle name="40% - Accent2 2 2 3 2 4" xfId="20474"/>
    <cellStyle name="40% - Accent2 2 2 3 3" xfId="3151"/>
    <cellStyle name="40% - Accent2 2 2 3 3 2" xfId="12209"/>
    <cellStyle name="40% - Accent2 2 2 3 3 2 2" xfId="25921"/>
    <cellStyle name="40% - Accent2 2 2 3 3 3" xfId="20476"/>
    <cellStyle name="40% - Accent2 2 2 3 4" xfId="3152"/>
    <cellStyle name="40% - Accent2 2 2 3 4 2" xfId="13773"/>
    <cellStyle name="40% - Accent2 2 2 3 4 2 2" xfId="27322"/>
    <cellStyle name="40% - Accent2 2 2 3 4 3" xfId="20477"/>
    <cellStyle name="40% - Accent2 2 2 3 5" xfId="3153"/>
    <cellStyle name="40% - Accent2 2 2 3 5 2" xfId="14354"/>
    <cellStyle name="40% - Accent2 2 2 3 5 2 2" xfId="27903"/>
    <cellStyle name="40% - Accent2 2 2 3 5 3" xfId="20478"/>
    <cellStyle name="40% - Accent2 2 2 3 6" xfId="3154"/>
    <cellStyle name="40% - Accent2 2 2 3 6 2" xfId="16240"/>
    <cellStyle name="40% - Accent2 2 2 3 6 2 2" xfId="29647"/>
    <cellStyle name="40% - Accent2 2 2 3 6 3" xfId="20479"/>
    <cellStyle name="40% - Accent2 2 2 3 7" xfId="9271"/>
    <cellStyle name="40% - Accent2 2 2 3 7 2" xfId="23746"/>
    <cellStyle name="40% - Accent2 2 2 3 8" xfId="20473"/>
    <cellStyle name="40% - Accent2 2 2 4" xfId="3155"/>
    <cellStyle name="40% - Accent2 2 2 4 2" xfId="3156"/>
    <cellStyle name="40% - Accent2 2 2 4 2 2" xfId="17168"/>
    <cellStyle name="40% - Accent2 2 2 4 2 2 2" xfId="30527"/>
    <cellStyle name="40% - Accent2 2 2 4 2 3" xfId="20481"/>
    <cellStyle name="40% - Accent2 2 2 4 3" xfId="10995"/>
    <cellStyle name="40% - Accent2 2 2 4 3 2" xfId="24937"/>
    <cellStyle name="40% - Accent2 2 2 4 4" xfId="20480"/>
    <cellStyle name="40% - Accent2 2 2 5" xfId="3157"/>
    <cellStyle name="40% - Accent2 2 2 5 2" xfId="3158"/>
    <cellStyle name="40% - Accent2 2 2 5 2 2" xfId="17257"/>
    <cellStyle name="40% - Accent2 2 2 5 2 2 2" xfId="30616"/>
    <cellStyle name="40% - Accent2 2 2 5 2 3" xfId="20483"/>
    <cellStyle name="40% - Accent2 2 2 5 3" xfId="11907"/>
    <cellStyle name="40% - Accent2 2 2 5 3 2" xfId="25622"/>
    <cellStyle name="40% - Accent2 2 2 5 4" xfId="20482"/>
    <cellStyle name="40% - Accent2 2 2 6" xfId="3159"/>
    <cellStyle name="40% - Accent2 2 2 6 2" xfId="3160"/>
    <cellStyle name="40% - Accent2 2 2 6 2 2" xfId="16532"/>
    <cellStyle name="40% - Accent2 2 2 6 2 2 2" xfId="29939"/>
    <cellStyle name="40% - Accent2 2 2 6 2 3" xfId="20485"/>
    <cellStyle name="40% - Accent2 2 2 6 3" xfId="13484"/>
    <cellStyle name="40% - Accent2 2 2 6 3 2" xfId="27033"/>
    <cellStyle name="40% - Accent2 2 2 6 4" xfId="20484"/>
    <cellStyle name="40% - Accent2 2 2 7" xfId="3161"/>
    <cellStyle name="40% - Accent2 2 2 7 2" xfId="14065"/>
    <cellStyle name="40% - Accent2 2 2 7 2 2" xfId="27614"/>
    <cellStyle name="40% - Accent2 2 2 7 3" xfId="20486"/>
    <cellStyle name="40% - Accent2 2 2 8" xfId="3162"/>
    <cellStyle name="40% - Accent2 2 2 8 2" xfId="15951"/>
    <cellStyle name="40% - Accent2 2 2 8 2 2" xfId="29358"/>
    <cellStyle name="40% - Accent2 2 2 8 3" xfId="20487"/>
    <cellStyle name="40% - Accent2 2 2 9" xfId="9268"/>
    <cellStyle name="40% - Accent2 2 2 9 2" xfId="23743"/>
    <cellStyle name="40% - Accent2 2 3" xfId="3163"/>
    <cellStyle name="40% - Accent2 2 3 2" xfId="3164"/>
    <cellStyle name="40% - Accent2 2 3 2 2" xfId="3165"/>
    <cellStyle name="40% - Accent2 2 3 2 2 2" xfId="3166"/>
    <cellStyle name="40% - Accent2 2 3 2 2 2 2" xfId="16918"/>
    <cellStyle name="40% - Accent2 2 3 2 2 2 2 2" xfId="30325"/>
    <cellStyle name="40% - Accent2 2 3 2 2 2 3" xfId="20491"/>
    <cellStyle name="40% - Accent2 2 3 2 2 3" xfId="11000"/>
    <cellStyle name="40% - Accent2 2 3 2 2 3 2" xfId="24942"/>
    <cellStyle name="40% - Accent2 2 3 2 2 4" xfId="20490"/>
    <cellStyle name="40% - Accent2 2 3 2 3" xfId="3167"/>
    <cellStyle name="40% - Accent2 2 3 2 3 2" xfId="12306"/>
    <cellStyle name="40% - Accent2 2 3 2 3 2 2" xfId="26018"/>
    <cellStyle name="40% - Accent2 2 3 2 3 3" xfId="20492"/>
    <cellStyle name="40% - Accent2 2 3 2 4" xfId="3168"/>
    <cellStyle name="40% - Accent2 2 3 2 4 2" xfId="13870"/>
    <cellStyle name="40% - Accent2 2 3 2 4 2 2" xfId="27419"/>
    <cellStyle name="40% - Accent2 2 3 2 4 3" xfId="20493"/>
    <cellStyle name="40% - Accent2 2 3 2 5" xfId="3169"/>
    <cellStyle name="40% - Accent2 2 3 2 5 2" xfId="14451"/>
    <cellStyle name="40% - Accent2 2 3 2 5 2 2" xfId="28000"/>
    <cellStyle name="40% - Accent2 2 3 2 5 3" xfId="20494"/>
    <cellStyle name="40% - Accent2 2 3 2 6" xfId="3170"/>
    <cellStyle name="40% - Accent2 2 3 2 6 2" xfId="16337"/>
    <cellStyle name="40% - Accent2 2 3 2 6 2 2" xfId="29744"/>
    <cellStyle name="40% - Accent2 2 3 2 6 3" xfId="20495"/>
    <cellStyle name="40% - Accent2 2 3 2 7" xfId="9273"/>
    <cellStyle name="40% - Accent2 2 3 2 7 2" xfId="23748"/>
    <cellStyle name="40% - Accent2 2 3 2 8" xfId="20489"/>
    <cellStyle name="40% - Accent2 2 3 3" xfId="3171"/>
    <cellStyle name="40% - Accent2 2 3 3 2" xfId="3172"/>
    <cellStyle name="40% - Accent2 2 3 3 2 2" xfId="16629"/>
    <cellStyle name="40% - Accent2 2 3 3 2 2 2" xfId="30036"/>
    <cellStyle name="40% - Accent2 2 3 3 2 3" xfId="20497"/>
    <cellStyle name="40% - Accent2 2 3 3 3" xfId="10999"/>
    <cellStyle name="40% - Accent2 2 3 3 3 2" xfId="24941"/>
    <cellStyle name="40% - Accent2 2 3 3 4" xfId="20496"/>
    <cellStyle name="40% - Accent2 2 3 4" xfId="3173"/>
    <cellStyle name="40% - Accent2 2 3 4 2" xfId="12006"/>
    <cellStyle name="40% - Accent2 2 3 4 2 2" xfId="25721"/>
    <cellStyle name="40% - Accent2 2 3 4 3" xfId="20498"/>
    <cellStyle name="40% - Accent2 2 3 5" xfId="3174"/>
    <cellStyle name="40% - Accent2 2 3 5 2" xfId="13581"/>
    <cellStyle name="40% - Accent2 2 3 5 2 2" xfId="27130"/>
    <cellStyle name="40% - Accent2 2 3 5 3" xfId="20499"/>
    <cellStyle name="40% - Accent2 2 3 6" xfId="3175"/>
    <cellStyle name="40% - Accent2 2 3 6 2" xfId="14162"/>
    <cellStyle name="40% - Accent2 2 3 6 2 2" xfId="27711"/>
    <cellStyle name="40% - Accent2 2 3 6 3" xfId="20500"/>
    <cellStyle name="40% - Accent2 2 3 7" xfId="3176"/>
    <cellStyle name="40% - Accent2 2 3 7 2" xfId="16048"/>
    <cellStyle name="40% - Accent2 2 3 7 2 2" xfId="29455"/>
    <cellStyle name="40% - Accent2 2 3 7 3" xfId="20501"/>
    <cellStyle name="40% - Accent2 2 3 8" xfId="9272"/>
    <cellStyle name="40% - Accent2 2 3 8 2" xfId="23747"/>
    <cellStyle name="40% - Accent2 2 3 9" xfId="20488"/>
    <cellStyle name="40% - Accent2 2 4" xfId="3177"/>
    <cellStyle name="40% - Accent2 2 4 2" xfId="3178"/>
    <cellStyle name="40% - Accent2 2 4 2 2" xfId="3179"/>
    <cellStyle name="40% - Accent2 2 4 2 2 2" xfId="16775"/>
    <cellStyle name="40% - Accent2 2 4 2 2 2 2" xfId="30182"/>
    <cellStyle name="40% - Accent2 2 4 2 2 3" xfId="20504"/>
    <cellStyle name="40% - Accent2 2 4 2 3" xfId="11001"/>
    <cellStyle name="40% - Accent2 2 4 2 3 2" xfId="24943"/>
    <cellStyle name="40% - Accent2 2 4 2 4" xfId="20503"/>
    <cellStyle name="40% - Accent2 2 4 3" xfId="3180"/>
    <cellStyle name="40% - Accent2 2 4 3 2" xfId="12163"/>
    <cellStyle name="40% - Accent2 2 4 3 2 2" xfId="25875"/>
    <cellStyle name="40% - Accent2 2 4 3 3" xfId="20505"/>
    <cellStyle name="40% - Accent2 2 4 4" xfId="3181"/>
    <cellStyle name="40% - Accent2 2 4 4 2" xfId="13727"/>
    <cellStyle name="40% - Accent2 2 4 4 2 2" xfId="27276"/>
    <cellStyle name="40% - Accent2 2 4 4 3" xfId="20506"/>
    <cellStyle name="40% - Accent2 2 4 5" xfId="3182"/>
    <cellStyle name="40% - Accent2 2 4 5 2" xfId="14308"/>
    <cellStyle name="40% - Accent2 2 4 5 2 2" xfId="27857"/>
    <cellStyle name="40% - Accent2 2 4 5 3" xfId="20507"/>
    <cellStyle name="40% - Accent2 2 4 6" xfId="3183"/>
    <cellStyle name="40% - Accent2 2 4 6 2" xfId="16194"/>
    <cellStyle name="40% - Accent2 2 4 6 2 2" xfId="29601"/>
    <cellStyle name="40% - Accent2 2 4 6 3" xfId="20508"/>
    <cellStyle name="40% - Accent2 2 4 7" xfId="9274"/>
    <cellStyle name="40% - Accent2 2 4 7 2" xfId="23749"/>
    <cellStyle name="40% - Accent2 2 4 8" xfId="20502"/>
    <cellStyle name="40% - Accent2 2 5" xfId="3184"/>
    <cellStyle name="40% - Accent2 2 5 2" xfId="3185"/>
    <cellStyle name="40% - Accent2 2 5 2 2" xfId="12622"/>
    <cellStyle name="40% - Accent2 2 5 2 2 2" xfId="26334"/>
    <cellStyle name="40% - Accent2 2 5 2 3" xfId="20510"/>
    <cellStyle name="40% - Accent2 2 5 3" xfId="3186"/>
    <cellStyle name="40% - Accent2 2 5 3 2" xfId="15165"/>
    <cellStyle name="40% - Accent2 2 5 3 2 2" xfId="28714"/>
    <cellStyle name="40% - Accent2 2 5 3 3" xfId="20511"/>
    <cellStyle name="40% - Accent2 2 5 4" xfId="3187"/>
    <cellStyle name="40% - Accent2 2 5 4 2" xfId="17014"/>
    <cellStyle name="40% - Accent2 2 5 4 2 2" xfId="30421"/>
    <cellStyle name="40% - Accent2 2 5 4 3" xfId="20512"/>
    <cellStyle name="40% - Accent2 2 5 5" xfId="10535"/>
    <cellStyle name="40% - Accent2 2 5 5 2" xfId="24477"/>
    <cellStyle name="40% - Accent2 2 5 6" xfId="20509"/>
    <cellStyle name="40% - Accent2 2 6" xfId="3188"/>
    <cellStyle name="40% - Accent2 2 6 2" xfId="3189"/>
    <cellStyle name="40% - Accent2 2 6 2 2" xfId="12739"/>
    <cellStyle name="40% - Accent2 2 6 2 2 2" xfId="26451"/>
    <cellStyle name="40% - Accent2 2 6 2 3" xfId="20514"/>
    <cellStyle name="40% - Accent2 2 6 3" xfId="3190"/>
    <cellStyle name="40% - Accent2 2 6 3 2" xfId="15166"/>
    <cellStyle name="40% - Accent2 2 6 3 2 2" xfId="28715"/>
    <cellStyle name="40% - Accent2 2 6 3 3" xfId="20515"/>
    <cellStyle name="40% - Accent2 2 6 4" xfId="3191"/>
    <cellStyle name="40% - Accent2 2 6 4 2" xfId="17122"/>
    <cellStyle name="40% - Accent2 2 6 4 2 2" xfId="30481"/>
    <cellStyle name="40% - Accent2 2 6 4 3" xfId="20516"/>
    <cellStyle name="40% - Accent2 2 6 5" xfId="10994"/>
    <cellStyle name="40% - Accent2 2 6 5 2" xfId="24936"/>
    <cellStyle name="40% - Accent2 2 6 6" xfId="20513"/>
    <cellStyle name="40% - Accent2 2 7" xfId="3192"/>
    <cellStyle name="40% - Accent2 2 7 2" xfId="3193"/>
    <cellStyle name="40% - Accent2 2 7 2 2" xfId="17211"/>
    <cellStyle name="40% - Accent2 2 7 2 2 2" xfId="30570"/>
    <cellStyle name="40% - Accent2 2 7 2 3" xfId="20518"/>
    <cellStyle name="40% - Accent2 2 7 3" xfId="11839"/>
    <cellStyle name="40% - Accent2 2 7 3 2" xfId="25554"/>
    <cellStyle name="40% - Accent2 2 7 4" xfId="20517"/>
    <cellStyle name="40% - Accent2 2 8" xfId="3194"/>
    <cellStyle name="40% - Accent2 2 8 2" xfId="3195"/>
    <cellStyle name="40% - Accent2 2 8 2 2" xfId="16486"/>
    <cellStyle name="40% - Accent2 2 8 2 2 2" xfId="29893"/>
    <cellStyle name="40% - Accent2 2 8 2 3" xfId="20520"/>
    <cellStyle name="40% - Accent2 2 8 3" xfId="13438"/>
    <cellStyle name="40% - Accent2 2 8 3 2" xfId="26987"/>
    <cellStyle name="40% - Accent2 2 8 4" xfId="20519"/>
    <cellStyle name="40% - Accent2 2 9" xfId="3196"/>
    <cellStyle name="40% - Accent2 2 9 2" xfId="14019"/>
    <cellStyle name="40% - Accent2 2 9 2 2" xfId="27568"/>
    <cellStyle name="40% - Accent2 2 9 3" xfId="20521"/>
    <cellStyle name="40% - Accent2 3" xfId="3197"/>
    <cellStyle name="40% - Accent2 3 10" xfId="20522"/>
    <cellStyle name="40% - Accent2 3 2" xfId="3198"/>
    <cellStyle name="40% - Accent2 3 2 2" xfId="3199"/>
    <cellStyle name="40% - Accent2 3 2 2 2" xfId="3200"/>
    <cellStyle name="40% - Accent2 3 2 2 2 2" xfId="3201"/>
    <cellStyle name="40% - Accent2 3 2 2 2 2 2" xfId="16941"/>
    <cellStyle name="40% - Accent2 3 2 2 2 2 2 2" xfId="30348"/>
    <cellStyle name="40% - Accent2 3 2 2 2 2 3" xfId="20526"/>
    <cellStyle name="40% - Accent2 3 2 2 2 3" xfId="11004"/>
    <cellStyle name="40% - Accent2 3 2 2 2 3 2" xfId="24946"/>
    <cellStyle name="40% - Accent2 3 2 2 2 4" xfId="20525"/>
    <cellStyle name="40% - Accent2 3 2 2 3" xfId="3202"/>
    <cellStyle name="40% - Accent2 3 2 2 3 2" xfId="12329"/>
    <cellStyle name="40% - Accent2 3 2 2 3 2 2" xfId="26041"/>
    <cellStyle name="40% - Accent2 3 2 2 3 3" xfId="20527"/>
    <cellStyle name="40% - Accent2 3 2 2 4" xfId="3203"/>
    <cellStyle name="40% - Accent2 3 2 2 4 2" xfId="13893"/>
    <cellStyle name="40% - Accent2 3 2 2 4 2 2" xfId="27442"/>
    <cellStyle name="40% - Accent2 3 2 2 4 3" xfId="20528"/>
    <cellStyle name="40% - Accent2 3 2 2 5" xfId="3204"/>
    <cellStyle name="40% - Accent2 3 2 2 5 2" xfId="14474"/>
    <cellStyle name="40% - Accent2 3 2 2 5 2 2" xfId="28023"/>
    <cellStyle name="40% - Accent2 3 2 2 5 3" xfId="20529"/>
    <cellStyle name="40% - Accent2 3 2 2 6" xfId="3205"/>
    <cellStyle name="40% - Accent2 3 2 2 6 2" xfId="16360"/>
    <cellStyle name="40% - Accent2 3 2 2 6 2 2" xfId="29767"/>
    <cellStyle name="40% - Accent2 3 2 2 6 3" xfId="20530"/>
    <cellStyle name="40% - Accent2 3 2 2 7" xfId="9277"/>
    <cellStyle name="40% - Accent2 3 2 2 7 2" xfId="23752"/>
    <cellStyle name="40% - Accent2 3 2 2 8" xfId="20524"/>
    <cellStyle name="40% - Accent2 3 2 3" xfId="3206"/>
    <cellStyle name="40% - Accent2 3 2 3 2" xfId="3207"/>
    <cellStyle name="40% - Accent2 3 2 3 2 2" xfId="16652"/>
    <cellStyle name="40% - Accent2 3 2 3 2 2 2" xfId="30059"/>
    <cellStyle name="40% - Accent2 3 2 3 2 3" xfId="20532"/>
    <cellStyle name="40% - Accent2 3 2 3 3" xfId="11003"/>
    <cellStyle name="40% - Accent2 3 2 3 3 2" xfId="24945"/>
    <cellStyle name="40% - Accent2 3 2 3 4" xfId="20531"/>
    <cellStyle name="40% - Accent2 3 2 4" xfId="3208"/>
    <cellStyle name="40% - Accent2 3 2 4 2" xfId="12029"/>
    <cellStyle name="40% - Accent2 3 2 4 2 2" xfId="25744"/>
    <cellStyle name="40% - Accent2 3 2 4 3" xfId="20533"/>
    <cellStyle name="40% - Accent2 3 2 5" xfId="3209"/>
    <cellStyle name="40% - Accent2 3 2 5 2" xfId="13604"/>
    <cellStyle name="40% - Accent2 3 2 5 2 2" xfId="27153"/>
    <cellStyle name="40% - Accent2 3 2 5 3" xfId="20534"/>
    <cellStyle name="40% - Accent2 3 2 6" xfId="3210"/>
    <cellStyle name="40% - Accent2 3 2 6 2" xfId="14185"/>
    <cellStyle name="40% - Accent2 3 2 6 2 2" xfId="27734"/>
    <cellStyle name="40% - Accent2 3 2 6 3" xfId="20535"/>
    <cellStyle name="40% - Accent2 3 2 7" xfId="3211"/>
    <cellStyle name="40% - Accent2 3 2 7 2" xfId="16071"/>
    <cellStyle name="40% - Accent2 3 2 7 2 2" xfId="29478"/>
    <cellStyle name="40% - Accent2 3 2 7 3" xfId="20536"/>
    <cellStyle name="40% - Accent2 3 2 8" xfId="9276"/>
    <cellStyle name="40% - Accent2 3 2 8 2" xfId="23751"/>
    <cellStyle name="40% - Accent2 3 2 9" xfId="20523"/>
    <cellStyle name="40% - Accent2 3 3" xfId="3212"/>
    <cellStyle name="40% - Accent2 3 3 2" xfId="3213"/>
    <cellStyle name="40% - Accent2 3 3 2 2" xfId="3214"/>
    <cellStyle name="40% - Accent2 3 3 2 2 2" xfId="16798"/>
    <cellStyle name="40% - Accent2 3 3 2 2 2 2" xfId="30205"/>
    <cellStyle name="40% - Accent2 3 3 2 2 3" xfId="20539"/>
    <cellStyle name="40% - Accent2 3 3 2 3" xfId="11005"/>
    <cellStyle name="40% - Accent2 3 3 2 3 2" xfId="24947"/>
    <cellStyle name="40% - Accent2 3 3 2 4" xfId="20538"/>
    <cellStyle name="40% - Accent2 3 3 3" xfId="3215"/>
    <cellStyle name="40% - Accent2 3 3 3 2" xfId="12186"/>
    <cellStyle name="40% - Accent2 3 3 3 2 2" xfId="25898"/>
    <cellStyle name="40% - Accent2 3 3 3 3" xfId="20540"/>
    <cellStyle name="40% - Accent2 3 3 4" xfId="3216"/>
    <cellStyle name="40% - Accent2 3 3 4 2" xfId="13750"/>
    <cellStyle name="40% - Accent2 3 3 4 2 2" xfId="27299"/>
    <cellStyle name="40% - Accent2 3 3 4 3" xfId="20541"/>
    <cellStyle name="40% - Accent2 3 3 5" xfId="3217"/>
    <cellStyle name="40% - Accent2 3 3 5 2" xfId="14331"/>
    <cellStyle name="40% - Accent2 3 3 5 2 2" xfId="27880"/>
    <cellStyle name="40% - Accent2 3 3 5 3" xfId="20542"/>
    <cellStyle name="40% - Accent2 3 3 6" xfId="3218"/>
    <cellStyle name="40% - Accent2 3 3 6 2" xfId="16217"/>
    <cellStyle name="40% - Accent2 3 3 6 2 2" xfId="29624"/>
    <cellStyle name="40% - Accent2 3 3 6 3" xfId="20543"/>
    <cellStyle name="40% - Accent2 3 3 7" xfId="9278"/>
    <cellStyle name="40% - Accent2 3 3 7 2" xfId="23753"/>
    <cellStyle name="40% - Accent2 3 3 8" xfId="20537"/>
    <cellStyle name="40% - Accent2 3 4" xfId="3219"/>
    <cellStyle name="40% - Accent2 3 4 2" xfId="3220"/>
    <cellStyle name="40% - Accent2 3 4 2 2" xfId="17145"/>
    <cellStyle name="40% - Accent2 3 4 2 2 2" xfId="30504"/>
    <cellStyle name="40% - Accent2 3 4 2 3" xfId="20545"/>
    <cellStyle name="40% - Accent2 3 4 3" xfId="11002"/>
    <cellStyle name="40% - Accent2 3 4 3 2" xfId="24944"/>
    <cellStyle name="40% - Accent2 3 4 4" xfId="20544"/>
    <cellStyle name="40% - Accent2 3 5" xfId="3221"/>
    <cellStyle name="40% - Accent2 3 5 2" xfId="3222"/>
    <cellStyle name="40% - Accent2 3 5 2 2" xfId="17234"/>
    <cellStyle name="40% - Accent2 3 5 2 2 2" xfId="30593"/>
    <cellStyle name="40% - Accent2 3 5 2 3" xfId="20547"/>
    <cellStyle name="40% - Accent2 3 5 3" xfId="11881"/>
    <cellStyle name="40% - Accent2 3 5 3 2" xfId="25596"/>
    <cellStyle name="40% - Accent2 3 5 4" xfId="20546"/>
    <cellStyle name="40% - Accent2 3 6" xfId="3223"/>
    <cellStyle name="40% - Accent2 3 6 2" xfId="3224"/>
    <cellStyle name="40% - Accent2 3 6 2 2" xfId="16509"/>
    <cellStyle name="40% - Accent2 3 6 2 2 2" xfId="29916"/>
    <cellStyle name="40% - Accent2 3 6 2 3" xfId="20549"/>
    <cellStyle name="40% - Accent2 3 6 3" xfId="13461"/>
    <cellStyle name="40% - Accent2 3 6 3 2" xfId="27010"/>
    <cellStyle name="40% - Accent2 3 6 4" xfId="20548"/>
    <cellStyle name="40% - Accent2 3 7" xfId="3225"/>
    <cellStyle name="40% - Accent2 3 7 2" xfId="14042"/>
    <cellStyle name="40% - Accent2 3 7 2 2" xfId="27591"/>
    <cellStyle name="40% - Accent2 3 7 3" xfId="20550"/>
    <cellStyle name="40% - Accent2 3 8" xfId="3226"/>
    <cellStyle name="40% - Accent2 3 8 2" xfId="15928"/>
    <cellStyle name="40% - Accent2 3 8 2 2" xfId="29335"/>
    <cellStyle name="40% - Accent2 3 8 3" xfId="20551"/>
    <cellStyle name="40% - Accent2 3 9" xfId="9275"/>
    <cellStyle name="40% - Accent2 3 9 2" xfId="23750"/>
    <cellStyle name="40% - Accent2 4" xfId="3227"/>
    <cellStyle name="40% - Accent2 4 10" xfId="20552"/>
    <cellStyle name="40% - Accent2 4 2" xfId="3228"/>
    <cellStyle name="40% - Accent2 4 2 2" xfId="3229"/>
    <cellStyle name="40% - Accent2 4 2 2 2" xfId="3230"/>
    <cellStyle name="40% - Accent2 4 2 2 2 2" xfId="3231"/>
    <cellStyle name="40% - Accent2 4 2 2 2 2 2" xfId="16899"/>
    <cellStyle name="40% - Accent2 4 2 2 2 2 2 2" xfId="30306"/>
    <cellStyle name="40% - Accent2 4 2 2 2 2 3" xfId="20556"/>
    <cellStyle name="40% - Accent2 4 2 2 2 3" xfId="11008"/>
    <cellStyle name="40% - Accent2 4 2 2 2 3 2" xfId="24950"/>
    <cellStyle name="40% - Accent2 4 2 2 2 4" xfId="20555"/>
    <cellStyle name="40% - Accent2 4 2 2 3" xfId="3232"/>
    <cellStyle name="40% - Accent2 4 2 2 3 2" xfId="12287"/>
    <cellStyle name="40% - Accent2 4 2 2 3 2 2" xfId="25999"/>
    <cellStyle name="40% - Accent2 4 2 2 3 3" xfId="20557"/>
    <cellStyle name="40% - Accent2 4 2 2 4" xfId="3233"/>
    <cellStyle name="40% - Accent2 4 2 2 4 2" xfId="13851"/>
    <cellStyle name="40% - Accent2 4 2 2 4 2 2" xfId="27400"/>
    <cellStyle name="40% - Accent2 4 2 2 4 3" xfId="20558"/>
    <cellStyle name="40% - Accent2 4 2 2 5" xfId="3234"/>
    <cellStyle name="40% - Accent2 4 2 2 5 2" xfId="14432"/>
    <cellStyle name="40% - Accent2 4 2 2 5 2 2" xfId="27981"/>
    <cellStyle name="40% - Accent2 4 2 2 5 3" xfId="20559"/>
    <cellStyle name="40% - Accent2 4 2 2 6" xfId="3235"/>
    <cellStyle name="40% - Accent2 4 2 2 6 2" xfId="16318"/>
    <cellStyle name="40% - Accent2 4 2 2 6 2 2" xfId="29725"/>
    <cellStyle name="40% - Accent2 4 2 2 6 3" xfId="20560"/>
    <cellStyle name="40% - Accent2 4 2 2 7" xfId="9281"/>
    <cellStyle name="40% - Accent2 4 2 2 7 2" xfId="23756"/>
    <cellStyle name="40% - Accent2 4 2 2 8" xfId="20554"/>
    <cellStyle name="40% - Accent2 4 2 3" xfId="3236"/>
    <cellStyle name="40% - Accent2 4 2 3 2" xfId="3237"/>
    <cellStyle name="40% - Accent2 4 2 3 2 2" xfId="16610"/>
    <cellStyle name="40% - Accent2 4 2 3 2 2 2" xfId="30017"/>
    <cellStyle name="40% - Accent2 4 2 3 2 3" xfId="20562"/>
    <cellStyle name="40% - Accent2 4 2 3 3" xfId="11007"/>
    <cellStyle name="40% - Accent2 4 2 3 3 2" xfId="24949"/>
    <cellStyle name="40% - Accent2 4 2 3 4" xfId="20561"/>
    <cellStyle name="40% - Accent2 4 2 4" xfId="3238"/>
    <cellStyle name="40% - Accent2 4 2 4 2" xfId="11987"/>
    <cellStyle name="40% - Accent2 4 2 4 2 2" xfId="25702"/>
    <cellStyle name="40% - Accent2 4 2 4 3" xfId="20563"/>
    <cellStyle name="40% - Accent2 4 2 5" xfId="3239"/>
    <cellStyle name="40% - Accent2 4 2 5 2" xfId="13562"/>
    <cellStyle name="40% - Accent2 4 2 5 2 2" xfId="27111"/>
    <cellStyle name="40% - Accent2 4 2 5 3" xfId="20564"/>
    <cellStyle name="40% - Accent2 4 2 6" xfId="3240"/>
    <cellStyle name="40% - Accent2 4 2 6 2" xfId="14143"/>
    <cellStyle name="40% - Accent2 4 2 6 2 2" xfId="27692"/>
    <cellStyle name="40% - Accent2 4 2 6 3" xfId="20565"/>
    <cellStyle name="40% - Accent2 4 2 7" xfId="3241"/>
    <cellStyle name="40% - Accent2 4 2 7 2" xfId="16029"/>
    <cellStyle name="40% - Accent2 4 2 7 2 2" xfId="29436"/>
    <cellStyle name="40% - Accent2 4 2 7 3" xfId="20566"/>
    <cellStyle name="40% - Accent2 4 2 8" xfId="9280"/>
    <cellStyle name="40% - Accent2 4 2 8 2" xfId="23755"/>
    <cellStyle name="40% - Accent2 4 2 9" xfId="20553"/>
    <cellStyle name="40% - Accent2 4 3" xfId="3242"/>
    <cellStyle name="40% - Accent2 4 3 2" xfId="3243"/>
    <cellStyle name="40% - Accent2 4 3 2 2" xfId="3244"/>
    <cellStyle name="40% - Accent2 4 3 2 2 2" xfId="16759"/>
    <cellStyle name="40% - Accent2 4 3 2 2 2 2" xfId="30166"/>
    <cellStyle name="40% - Accent2 4 3 2 2 3" xfId="20569"/>
    <cellStyle name="40% - Accent2 4 3 2 3" xfId="11009"/>
    <cellStyle name="40% - Accent2 4 3 2 3 2" xfId="24951"/>
    <cellStyle name="40% - Accent2 4 3 2 4" xfId="20568"/>
    <cellStyle name="40% - Accent2 4 3 3" xfId="3245"/>
    <cellStyle name="40% - Accent2 4 3 3 2" xfId="12147"/>
    <cellStyle name="40% - Accent2 4 3 3 2 2" xfId="25859"/>
    <cellStyle name="40% - Accent2 4 3 3 3" xfId="20570"/>
    <cellStyle name="40% - Accent2 4 3 4" xfId="3246"/>
    <cellStyle name="40% - Accent2 4 3 4 2" xfId="13711"/>
    <cellStyle name="40% - Accent2 4 3 4 2 2" xfId="27260"/>
    <cellStyle name="40% - Accent2 4 3 4 3" xfId="20571"/>
    <cellStyle name="40% - Accent2 4 3 5" xfId="3247"/>
    <cellStyle name="40% - Accent2 4 3 5 2" xfId="14292"/>
    <cellStyle name="40% - Accent2 4 3 5 2 2" xfId="27841"/>
    <cellStyle name="40% - Accent2 4 3 5 3" xfId="20572"/>
    <cellStyle name="40% - Accent2 4 3 6" xfId="3248"/>
    <cellStyle name="40% - Accent2 4 3 6 2" xfId="16178"/>
    <cellStyle name="40% - Accent2 4 3 6 2 2" xfId="29585"/>
    <cellStyle name="40% - Accent2 4 3 6 3" xfId="20573"/>
    <cellStyle name="40% - Accent2 4 3 7" xfId="9282"/>
    <cellStyle name="40% - Accent2 4 3 7 2" xfId="23757"/>
    <cellStyle name="40% - Accent2 4 3 8" xfId="20567"/>
    <cellStyle name="40% - Accent2 4 4" xfId="3249"/>
    <cellStyle name="40% - Accent2 4 4 2" xfId="3250"/>
    <cellStyle name="40% - Accent2 4 4 2 2" xfId="16467"/>
    <cellStyle name="40% - Accent2 4 4 2 2 2" xfId="29874"/>
    <cellStyle name="40% - Accent2 4 4 2 3" xfId="20575"/>
    <cellStyle name="40% - Accent2 4 4 3" xfId="11006"/>
    <cellStyle name="40% - Accent2 4 4 3 2" xfId="24948"/>
    <cellStyle name="40% - Accent2 4 4 4" xfId="20574"/>
    <cellStyle name="40% - Accent2 4 5" xfId="3251"/>
    <cellStyle name="40% - Accent2 4 5 2" xfId="11818"/>
    <cellStyle name="40% - Accent2 4 5 2 2" xfId="25533"/>
    <cellStyle name="40% - Accent2 4 5 3" xfId="20576"/>
    <cellStyle name="40% - Accent2 4 6" xfId="3252"/>
    <cellStyle name="40% - Accent2 4 6 2" xfId="13419"/>
    <cellStyle name="40% - Accent2 4 6 2 2" xfId="26968"/>
    <cellStyle name="40% - Accent2 4 6 3" xfId="20577"/>
    <cellStyle name="40% - Accent2 4 7" xfId="3253"/>
    <cellStyle name="40% - Accent2 4 7 2" xfId="14000"/>
    <cellStyle name="40% - Accent2 4 7 2 2" xfId="27549"/>
    <cellStyle name="40% - Accent2 4 7 3" xfId="20578"/>
    <cellStyle name="40% - Accent2 4 8" xfId="3254"/>
    <cellStyle name="40% - Accent2 4 8 2" xfId="15886"/>
    <cellStyle name="40% - Accent2 4 8 2 2" xfId="29293"/>
    <cellStyle name="40% - Accent2 4 8 3" xfId="20579"/>
    <cellStyle name="40% - Accent2 4 9" xfId="9279"/>
    <cellStyle name="40% - Accent2 4 9 2" xfId="23754"/>
    <cellStyle name="40% - Accent2 5" xfId="3255"/>
    <cellStyle name="40% - Accent2 5 10" xfId="20580"/>
    <cellStyle name="40% - Accent2 5 2" xfId="3256"/>
    <cellStyle name="40% - Accent2 5 2 2" xfId="3257"/>
    <cellStyle name="40% - Accent2 5 2 2 2" xfId="3258"/>
    <cellStyle name="40% - Accent2 5 2 2 2 2" xfId="3259"/>
    <cellStyle name="40% - Accent2 5 2 2 2 2 2" xfId="16882"/>
    <cellStyle name="40% - Accent2 5 2 2 2 2 2 2" xfId="30289"/>
    <cellStyle name="40% - Accent2 5 2 2 2 2 3" xfId="20584"/>
    <cellStyle name="40% - Accent2 5 2 2 2 3" xfId="11012"/>
    <cellStyle name="40% - Accent2 5 2 2 2 3 2" xfId="24954"/>
    <cellStyle name="40% - Accent2 5 2 2 2 4" xfId="20583"/>
    <cellStyle name="40% - Accent2 5 2 2 3" xfId="3260"/>
    <cellStyle name="40% - Accent2 5 2 2 3 2" xfId="12270"/>
    <cellStyle name="40% - Accent2 5 2 2 3 2 2" xfId="25982"/>
    <cellStyle name="40% - Accent2 5 2 2 3 3" xfId="20585"/>
    <cellStyle name="40% - Accent2 5 2 2 4" xfId="3261"/>
    <cellStyle name="40% - Accent2 5 2 2 4 2" xfId="13834"/>
    <cellStyle name="40% - Accent2 5 2 2 4 2 2" xfId="27383"/>
    <cellStyle name="40% - Accent2 5 2 2 4 3" xfId="20586"/>
    <cellStyle name="40% - Accent2 5 2 2 5" xfId="3262"/>
    <cellStyle name="40% - Accent2 5 2 2 5 2" xfId="14415"/>
    <cellStyle name="40% - Accent2 5 2 2 5 2 2" xfId="27964"/>
    <cellStyle name="40% - Accent2 5 2 2 5 3" xfId="20587"/>
    <cellStyle name="40% - Accent2 5 2 2 6" xfId="3263"/>
    <cellStyle name="40% - Accent2 5 2 2 6 2" xfId="16301"/>
    <cellStyle name="40% - Accent2 5 2 2 6 2 2" xfId="29708"/>
    <cellStyle name="40% - Accent2 5 2 2 6 3" xfId="20588"/>
    <cellStyle name="40% - Accent2 5 2 2 7" xfId="9285"/>
    <cellStyle name="40% - Accent2 5 2 2 7 2" xfId="23760"/>
    <cellStyle name="40% - Accent2 5 2 2 8" xfId="20582"/>
    <cellStyle name="40% - Accent2 5 2 3" xfId="3264"/>
    <cellStyle name="40% - Accent2 5 2 3 2" xfId="3265"/>
    <cellStyle name="40% - Accent2 5 2 3 2 2" xfId="16593"/>
    <cellStyle name="40% - Accent2 5 2 3 2 2 2" xfId="30000"/>
    <cellStyle name="40% - Accent2 5 2 3 2 3" xfId="20590"/>
    <cellStyle name="40% - Accent2 5 2 3 3" xfId="11011"/>
    <cellStyle name="40% - Accent2 5 2 3 3 2" xfId="24953"/>
    <cellStyle name="40% - Accent2 5 2 3 4" xfId="20589"/>
    <cellStyle name="40% - Accent2 5 2 4" xfId="3266"/>
    <cellStyle name="40% - Accent2 5 2 4 2" xfId="11970"/>
    <cellStyle name="40% - Accent2 5 2 4 2 2" xfId="25685"/>
    <cellStyle name="40% - Accent2 5 2 4 3" xfId="20591"/>
    <cellStyle name="40% - Accent2 5 2 5" xfId="3267"/>
    <cellStyle name="40% - Accent2 5 2 5 2" xfId="13545"/>
    <cellStyle name="40% - Accent2 5 2 5 2 2" xfId="27094"/>
    <cellStyle name="40% - Accent2 5 2 5 3" xfId="20592"/>
    <cellStyle name="40% - Accent2 5 2 6" xfId="3268"/>
    <cellStyle name="40% - Accent2 5 2 6 2" xfId="14126"/>
    <cellStyle name="40% - Accent2 5 2 6 2 2" xfId="27675"/>
    <cellStyle name="40% - Accent2 5 2 6 3" xfId="20593"/>
    <cellStyle name="40% - Accent2 5 2 7" xfId="3269"/>
    <cellStyle name="40% - Accent2 5 2 7 2" xfId="16012"/>
    <cellStyle name="40% - Accent2 5 2 7 2 2" xfId="29419"/>
    <cellStyle name="40% - Accent2 5 2 7 3" xfId="20594"/>
    <cellStyle name="40% - Accent2 5 2 8" xfId="9284"/>
    <cellStyle name="40% - Accent2 5 2 8 2" xfId="23759"/>
    <cellStyle name="40% - Accent2 5 2 9" xfId="20581"/>
    <cellStyle name="40% - Accent2 5 3" xfId="3270"/>
    <cellStyle name="40% - Accent2 5 3 2" xfId="3271"/>
    <cellStyle name="40% - Accent2 5 3 2 2" xfId="3272"/>
    <cellStyle name="40% - Accent2 5 3 2 2 2" xfId="16742"/>
    <cellStyle name="40% - Accent2 5 3 2 2 2 2" xfId="30149"/>
    <cellStyle name="40% - Accent2 5 3 2 2 3" xfId="20597"/>
    <cellStyle name="40% - Accent2 5 3 2 3" xfId="11013"/>
    <cellStyle name="40% - Accent2 5 3 2 3 2" xfId="24955"/>
    <cellStyle name="40% - Accent2 5 3 2 4" xfId="20596"/>
    <cellStyle name="40% - Accent2 5 3 3" xfId="3273"/>
    <cellStyle name="40% - Accent2 5 3 3 2" xfId="12130"/>
    <cellStyle name="40% - Accent2 5 3 3 2 2" xfId="25842"/>
    <cellStyle name="40% - Accent2 5 3 3 3" xfId="20598"/>
    <cellStyle name="40% - Accent2 5 3 4" xfId="3274"/>
    <cellStyle name="40% - Accent2 5 3 4 2" xfId="13694"/>
    <cellStyle name="40% - Accent2 5 3 4 2 2" xfId="27243"/>
    <cellStyle name="40% - Accent2 5 3 4 3" xfId="20599"/>
    <cellStyle name="40% - Accent2 5 3 5" xfId="3275"/>
    <cellStyle name="40% - Accent2 5 3 5 2" xfId="14275"/>
    <cellStyle name="40% - Accent2 5 3 5 2 2" xfId="27824"/>
    <cellStyle name="40% - Accent2 5 3 5 3" xfId="20600"/>
    <cellStyle name="40% - Accent2 5 3 6" xfId="3276"/>
    <cellStyle name="40% - Accent2 5 3 6 2" xfId="16161"/>
    <cellStyle name="40% - Accent2 5 3 6 2 2" xfId="29568"/>
    <cellStyle name="40% - Accent2 5 3 6 3" xfId="20601"/>
    <cellStyle name="40% - Accent2 5 3 7" xfId="9286"/>
    <cellStyle name="40% - Accent2 5 3 7 2" xfId="23761"/>
    <cellStyle name="40% - Accent2 5 3 8" xfId="20595"/>
    <cellStyle name="40% - Accent2 5 4" xfId="3277"/>
    <cellStyle name="40% - Accent2 5 4 2" xfId="3278"/>
    <cellStyle name="40% - Accent2 5 4 2 2" xfId="16450"/>
    <cellStyle name="40% - Accent2 5 4 2 2 2" xfId="29857"/>
    <cellStyle name="40% - Accent2 5 4 2 3" xfId="20603"/>
    <cellStyle name="40% - Accent2 5 4 3" xfId="11010"/>
    <cellStyle name="40% - Accent2 5 4 3 2" xfId="24952"/>
    <cellStyle name="40% - Accent2 5 4 4" xfId="20602"/>
    <cellStyle name="40% - Accent2 5 5" xfId="3279"/>
    <cellStyle name="40% - Accent2 5 5 2" xfId="11801"/>
    <cellStyle name="40% - Accent2 5 5 2 2" xfId="25516"/>
    <cellStyle name="40% - Accent2 5 5 3" xfId="20604"/>
    <cellStyle name="40% - Accent2 5 6" xfId="3280"/>
    <cellStyle name="40% - Accent2 5 6 2" xfId="13402"/>
    <cellStyle name="40% - Accent2 5 6 2 2" xfId="26951"/>
    <cellStyle name="40% - Accent2 5 6 3" xfId="20605"/>
    <cellStyle name="40% - Accent2 5 7" xfId="3281"/>
    <cellStyle name="40% - Accent2 5 7 2" xfId="13983"/>
    <cellStyle name="40% - Accent2 5 7 2 2" xfId="27532"/>
    <cellStyle name="40% - Accent2 5 7 3" xfId="20606"/>
    <cellStyle name="40% - Accent2 5 8" xfId="3282"/>
    <cellStyle name="40% - Accent2 5 8 2" xfId="15869"/>
    <cellStyle name="40% - Accent2 5 8 2 2" xfId="29276"/>
    <cellStyle name="40% - Accent2 5 8 3" xfId="20607"/>
    <cellStyle name="40% - Accent2 5 9" xfId="9283"/>
    <cellStyle name="40% - Accent2 5 9 2" xfId="23758"/>
    <cellStyle name="40% - Accent2 6" xfId="3283"/>
    <cellStyle name="40% - Accent2 6 10" xfId="20608"/>
    <cellStyle name="40% - Accent2 6 2" xfId="3284"/>
    <cellStyle name="40% - Accent2 6 2 2" xfId="3285"/>
    <cellStyle name="40% - Accent2 6 2 2 2" xfId="3286"/>
    <cellStyle name="40% - Accent2 6 2 2 2 2" xfId="3287"/>
    <cellStyle name="40% - Accent2 6 2 2 2 2 2" xfId="16988"/>
    <cellStyle name="40% - Accent2 6 2 2 2 2 2 2" xfId="30395"/>
    <cellStyle name="40% - Accent2 6 2 2 2 2 3" xfId="20612"/>
    <cellStyle name="40% - Accent2 6 2 2 2 3" xfId="11016"/>
    <cellStyle name="40% - Accent2 6 2 2 2 3 2" xfId="24958"/>
    <cellStyle name="40% - Accent2 6 2 2 2 4" xfId="20611"/>
    <cellStyle name="40% - Accent2 6 2 2 3" xfId="3288"/>
    <cellStyle name="40% - Accent2 6 2 2 3 2" xfId="12376"/>
    <cellStyle name="40% - Accent2 6 2 2 3 2 2" xfId="26088"/>
    <cellStyle name="40% - Accent2 6 2 2 3 3" xfId="20613"/>
    <cellStyle name="40% - Accent2 6 2 2 4" xfId="3289"/>
    <cellStyle name="40% - Accent2 6 2 2 4 2" xfId="13940"/>
    <cellStyle name="40% - Accent2 6 2 2 4 2 2" xfId="27489"/>
    <cellStyle name="40% - Accent2 6 2 2 4 3" xfId="20614"/>
    <cellStyle name="40% - Accent2 6 2 2 5" xfId="3290"/>
    <cellStyle name="40% - Accent2 6 2 2 5 2" xfId="14521"/>
    <cellStyle name="40% - Accent2 6 2 2 5 2 2" xfId="28070"/>
    <cellStyle name="40% - Accent2 6 2 2 5 3" xfId="20615"/>
    <cellStyle name="40% - Accent2 6 2 2 6" xfId="3291"/>
    <cellStyle name="40% - Accent2 6 2 2 6 2" xfId="16407"/>
    <cellStyle name="40% - Accent2 6 2 2 6 2 2" xfId="29814"/>
    <cellStyle name="40% - Accent2 6 2 2 6 3" xfId="20616"/>
    <cellStyle name="40% - Accent2 6 2 2 7" xfId="9289"/>
    <cellStyle name="40% - Accent2 6 2 2 7 2" xfId="23764"/>
    <cellStyle name="40% - Accent2 6 2 2 8" xfId="20610"/>
    <cellStyle name="40% - Accent2 6 2 3" xfId="3292"/>
    <cellStyle name="40% - Accent2 6 2 3 2" xfId="3293"/>
    <cellStyle name="40% - Accent2 6 2 3 2 2" xfId="16699"/>
    <cellStyle name="40% - Accent2 6 2 3 2 2 2" xfId="30106"/>
    <cellStyle name="40% - Accent2 6 2 3 2 3" xfId="20618"/>
    <cellStyle name="40% - Accent2 6 2 3 3" xfId="11015"/>
    <cellStyle name="40% - Accent2 6 2 3 3 2" xfId="24957"/>
    <cellStyle name="40% - Accent2 6 2 3 4" xfId="20617"/>
    <cellStyle name="40% - Accent2 6 2 4" xfId="3294"/>
    <cellStyle name="40% - Accent2 6 2 4 2" xfId="12076"/>
    <cellStyle name="40% - Accent2 6 2 4 2 2" xfId="25791"/>
    <cellStyle name="40% - Accent2 6 2 4 3" xfId="20619"/>
    <cellStyle name="40% - Accent2 6 2 5" xfId="3295"/>
    <cellStyle name="40% - Accent2 6 2 5 2" xfId="13651"/>
    <cellStyle name="40% - Accent2 6 2 5 2 2" xfId="27200"/>
    <cellStyle name="40% - Accent2 6 2 5 3" xfId="20620"/>
    <cellStyle name="40% - Accent2 6 2 6" xfId="3296"/>
    <cellStyle name="40% - Accent2 6 2 6 2" xfId="14232"/>
    <cellStyle name="40% - Accent2 6 2 6 2 2" xfId="27781"/>
    <cellStyle name="40% - Accent2 6 2 6 3" xfId="20621"/>
    <cellStyle name="40% - Accent2 6 2 7" xfId="3297"/>
    <cellStyle name="40% - Accent2 6 2 7 2" xfId="16118"/>
    <cellStyle name="40% - Accent2 6 2 7 2 2" xfId="29525"/>
    <cellStyle name="40% - Accent2 6 2 7 3" xfId="20622"/>
    <cellStyle name="40% - Accent2 6 2 8" xfId="9288"/>
    <cellStyle name="40% - Accent2 6 2 8 2" xfId="23763"/>
    <cellStyle name="40% - Accent2 6 2 9" xfId="20609"/>
    <cellStyle name="40% - Accent2 6 3" xfId="3298"/>
    <cellStyle name="40% - Accent2 6 3 2" xfId="3299"/>
    <cellStyle name="40% - Accent2 6 3 2 2" xfId="3300"/>
    <cellStyle name="40% - Accent2 6 3 2 2 2" xfId="16845"/>
    <cellStyle name="40% - Accent2 6 3 2 2 2 2" xfId="30252"/>
    <cellStyle name="40% - Accent2 6 3 2 2 3" xfId="20625"/>
    <cellStyle name="40% - Accent2 6 3 2 3" xfId="11017"/>
    <cellStyle name="40% - Accent2 6 3 2 3 2" xfId="24959"/>
    <cellStyle name="40% - Accent2 6 3 2 4" xfId="20624"/>
    <cellStyle name="40% - Accent2 6 3 3" xfId="3301"/>
    <cellStyle name="40% - Accent2 6 3 3 2" xfId="12233"/>
    <cellStyle name="40% - Accent2 6 3 3 2 2" xfId="25945"/>
    <cellStyle name="40% - Accent2 6 3 3 3" xfId="20626"/>
    <cellStyle name="40% - Accent2 6 3 4" xfId="3302"/>
    <cellStyle name="40% - Accent2 6 3 4 2" xfId="13797"/>
    <cellStyle name="40% - Accent2 6 3 4 2 2" xfId="27346"/>
    <cellStyle name="40% - Accent2 6 3 4 3" xfId="20627"/>
    <cellStyle name="40% - Accent2 6 3 5" xfId="3303"/>
    <cellStyle name="40% - Accent2 6 3 5 2" xfId="14378"/>
    <cellStyle name="40% - Accent2 6 3 5 2 2" xfId="27927"/>
    <cellStyle name="40% - Accent2 6 3 5 3" xfId="20628"/>
    <cellStyle name="40% - Accent2 6 3 6" xfId="3304"/>
    <cellStyle name="40% - Accent2 6 3 6 2" xfId="16264"/>
    <cellStyle name="40% - Accent2 6 3 6 2 2" xfId="29671"/>
    <cellStyle name="40% - Accent2 6 3 6 3" xfId="20629"/>
    <cellStyle name="40% - Accent2 6 3 7" xfId="9290"/>
    <cellStyle name="40% - Accent2 6 3 7 2" xfId="23765"/>
    <cellStyle name="40% - Accent2 6 3 8" xfId="20623"/>
    <cellStyle name="40% - Accent2 6 4" xfId="3305"/>
    <cellStyle name="40% - Accent2 6 4 2" xfId="3306"/>
    <cellStyle name="40% - Accent2 6 4 2 2" xfId="16556"/>
    <cellStyle name="40% - Accent2 6 4 2 2 2" xfId="29963"/>
    <cellStyle name="40% - Accent2 6 4 2 3" xfId="20631"/>
    <cellStyle name="40% - Accent2 6 4 3" xfId="11014"/>
    <cellStyle name="40% - Accent2 6 4 3 2" xfId="24956"/>
    <cellStyle name="40% - Accent2 6 4 4" xfId="20630"/>
    <cellStyle name="40% - Accent2 6 5" xfId="3307"/>
    <cellStyle name="40% - Accent2 6 5 2" xfId="11931"/>
    <cellStyle name="40% - Accent2 6 5 2 2" xfId="25646"/>
    <cellStyle name="40% - Accent2 6 5 3" xfId="20632"/>
    <cellStyle name="40% - Accent2 6 6" xfId="3308"/>
    <cellStyle name="40% - Accent2 6 6 2" xfId="13508"/>
    <cellStyle name="40% - Accent2 6 6 2 2" xfId="27057"/>
    <cellStyle name="40% - Accent2 6 6 3" xfId="20633"/>
    <cellStyle name="40% - Accent2 6 7" xfId="3309"/>
    <cellStyle name="40% - Accent2 6 7 2" xfId="14089"/>
    <cellStyle name="40% - Accent2 6 7 2 2" xfId="27638"/>
    <cellStyle name="40% - Accent2 6 7 3" xfId="20634"/>
    <cellStyle name="40% - Accent2 6 8" xfId="3310"/>
    <cellStyle name="40% - Accent2 6 8 2" xfId="15975"/>
    <cellStyle name="40% - Accent2 6 8 2 2" xfId="29382"/>
    <cellStyle name="40% - Accent2 6 8 3" xfId="20635"/>
    <cellStyle name="40% - Accent2 6 9" xfId="9287"/>
    <cellStyle name="40% - Accent2 6 9 2" xfId="23762"/>
    <cellStyle name="40% - Accent2 7" xfId="3311"/>
    <cellStyle name="40% - Accent2 7 2" xfId="3312"/>
    <cellStyle name="40% - Accent2 7 2 2" xfId="3313"/>
    <cellStyle name="40% - Accent2 7 2 2 2" xfId="3314"/>
    <cellStyle name="40% - Accent2 7 2 2 2 2" xfId="16861"/>
    <cellStyle name="40% - Accent2 7 2 2 2 2 2" xfId="30268"/>
    <cellStyle name="40% - Accent2 7 2 2 2 3" xfId="20639"/>
    <cellStyle name="40% - Accent2 7 2 2 3" xfId="11019"/>
    <cellStyle name="40% - Accent2 7 2 2 3 2" xfId="24961"/>
    <cellStyle name="40% - Accent2 7 2 2 4" xfId="20638"/>
    <cellStyle name="40% - Accent2 7 2 3" xfId="3315"/>
    <cellStyle name="40% - Accent2 7 2 3 2" xfId="12249"/>
    <cellStyle name="40% - Accent2 7 2 3 2 2" xfId="25961"/>
    <cellStyle name="40% - Accent2 7 2 3 3" xfId="20640"/>
    <cellStyle name="40% - Accent2 7 2 4" xfId="3316"/>
    <cellStyle name="40% - Accent2 7 2 4 2" xfId="13813"/>
    <cellStyle name="40% - Accent2 7 2 4 2 2" xfId="27362"/>
    <cellStyle name="40% - Accent2 7 2 4 3" xfId="20641"/>
    <cellStyle name="40% - Accent2 7 2 5" xfId="3317"/>
    <cellStyle name="40% - Accent2 7 2 5 2" xfId="14394"/>
    <cellStyle name="40% - Accent2 7 2 5 2 2" xfId="27943"/>
    <cellStyle name="40% - Accent2 7 2 5 3" xfId="20642"/>
    <cellStyle name="40% - Accent2 7 2 6" xfId="3318"/>
    <cellStyle name="40% - Accent2 7 2 6 2" xfId="16280"/>
    <cellStyle name="40% - Accent2 7 2 6 2 2" xfId="29687"/>
    <cellStyle name="40% - Accent2 7 2 6 3" xfId="20643"/>
    <cellStyle name="40% - Accent2 7 2 7" xfId="9292"/>
    <cellStyle name="40% - Accent2 7 2 7 2" xfId="23767"/>
    <cellStyle name="40% - Accent2 7 2 8" xfId="20637"/>
    <cellStyle name="40% - Accent2 7 3" xfId="3319"/>
    <cellStyle name="40% - Accent2 7 3 2" xfId="3320"/>
    <cellStyle name="40% - Accent2 7 3 2 2" xfId="16572"/>
    <cellStyle name="40% - Accent2 7 3 2 2 2" xfId="29979"/>
    <cellStyle name="40% - Accent2 7 3 2 3" xfId="20645"/>
    <cellStyle name="40% - Accent2 7 3 3" xfId="11018"/>
    <cellStyle name="40% - Accent2 7 3 3 2" xfId="24960"/>
    <cellStyle name="40% - Accent2 7 3 4" xfId="20644"/>
    <cellStyle name="40% - Accent2 7 4" xfId="3321"/>
    <cellStyle name="40% - Accent2 7 4 2" xfId="11947"/>
    <cellStyle name="40% - Accent2 7 4 2 2" xfId="25662"/>
    <cellStyle name="40% - Accent2 7 4 3" xfId="20646"/>
    <cellStyle name="40% - Accent2 7 5" xfId="3322"/>
    <cellStyle name="40% - Accent2 7 5 2" xfId="13524"/>
    <cellStyle name="40% - Accent2 7 5 2 2" xfId="27073"/>
    <cellStyle name="40% - Accent2 7 5 3" xfId="20647"/>
    <cellStyle name="40% - Accent2 7 6" xfId="3323"/>
    <cellStyle name="40% - Accent2 7 6 2" xfId="14105"/>
    <cellStyle name="40% - Accent2 7 6 2 2" xfId="27654"/>
    <cellStyle name="40% - Accent2 7 6 3" xfId="20648"/>
    <cellStyle name="40% - Accent2 7 7" xfId="3324"/>
    <cellStyle name="40% - Accent2 7 7 2" xfId="15991"/>
    <cellStyle name="40% - Accent2 7 7 2 2" xfId="29398"/>
    <cellStyle name="40% - Accent2 7 7 3" xfId="20649"/>
    <cellStyle name="40% - Accent2 7 8" xfId="9291"/>
    <cellStyle name="40% - Accent2 7 8 2" xfId="23766"/>
    <cellStyle name="40% - Accent2 7 9" xfId="20636"/>
    <cellStyle name="40% - Accent2 8" xfId="3325"/>
    <cellStyle name="40% - Accent2 8 2" xfId="3326"/>
    <cellStyle name="40% - Accent2 8 2 2" xfId="3327"/>
    <cellStyle name="40% - Accent2 8 2 2 2" xfId="16719"/>
    <cellStyle name="40% - Accent2 8 2 2 2 2" xfId="30126"/>
    <cellStyle name="40% - Accent2 8 2 2 3" xfId="20652"/>
    <cellStyle name="40% - Accent2 8 2 3" xfId="11020"/>
    <cellStyle name="40% - Accent2 8 2 3 2" xfId="24962"/>
    <cellStyle name="40% - Accent2 8 2 4" xfId="20651"/>
    <cellStyle name="40% - Accent2 8 3" xfId="3328"/>
    <cellStyle name="40% - Accent2 8 3 2" xfId="12097"/>
    <cellStyle name="40% - Accent2 8 3 2 2" xfId="25811"/>
    <cellStyle name="40% - Accent2 8 3 3" xfId="20653"/>
    <cellStyle name="40% - Accent2 8 4" xfId="3329"/>
    <cellStyle name="40% - Accent2 8 4 2" xfId="13671"/>
    <cellStyle name="40% - Accent2 8 4 2 2" xfId="27220"/>
    <cellStyle name="40% - Accent2 8 4 3" xfId="20654"/>
    <cellStyle name="40% - Accent2 8 5" xfId="3330"/>
    <cellStyle name="40% - Accent2 8 5 2" xfId="14252"/>
    <cellStyle name="40% - Accent2 8 5 2 2" xfId="27801"/>
    <cellStyle name="40% - Accent2 8 5 3" xfId="20655"/>
    <cellStyle name="40% - Accent2 8 6" xfId="3331"/>
    <cellStyle name="40% - Accent2 8 6 2" xfId="16138"/>
    <cellStyle name="40% - Accent2 8 6 2 2" xfId="29545"/>
    <cellStyle name="40% - Accent2 8 6 3" xfId="20656"/>
    <cellStyle name="40% - Accent2 8 7" xfId="9293"/>
    <cellStyle name="40% - Accent2 8 7 2" xfId="23768"/>
    <cellStyle name="40% - Accent2 8 8" xfId="20650"/>
    <cellStyle name="40% - Accent2 9" xfId="3332"/>
    <cellStyle name="40% - Accent2 9 2" xfId="3333"/>
    <cellStyle name="40% - Accent2 9 2 2" xfId="11717"/>
    <cellStyle name="40% - Accent2 9 2 2 2" xfId="25437"/>
    <cellStyle name="40% - Accent2 9 2 3" xfId="20658"/>
    <cellStyle name="40% - Accent2 9 3" xfId="3334"/>
    <cellStyle name="40% - Accent2 9 3 2" xfId="12534"/>
    <cellStyle name="40% - Accent2 9 3 2 2" xfId="26246"/>
    <cellStyle name="40% - Accent2 9 3 3" xfId="20659"/>
    <cellStyle name="40% - Accent2 9 4" xfId="3335"/>
    <cellStyle name="40% - Accent2 9 4 2" xfId="15167"/>
    <cellStyle name="40% - Accent2 9 4 2 2" xfId="28716"/>
    <cellStyle name="40% - Accent2 9 4 3" xfId="20660"/>
    <cellStyle name="40% - Accent2 9 5" xfId="3336"/>
    <cellStyle name="40% - Accent2 9 5 2" xfId="17103"/>
    <cellStyle name="40% - Accent2 9 5 2 2" xfId="30462"/>
    <cellStyle name="40% - Accent2 9 5 3" xfId="20661"/>
    <cellStyle name="40% - Accent2 9 6" xfId="10469"/>
    <cellStyle name="40% - Accent2 9 6 2" xfId="24428"/>
    <cellStyle name="40% - Accent2 9 7" xfId="20657"/>
    <cellStyle name="40% - Accent3" xfId="37" builtinId="39" customBuiltin="1"/>
    <cellStyle name="40% - Accent3 10" xfId="3337"/>
    <cellStyle name="40% - Accent3 10 2" xfId="3338"/>
    <cellStyle name="40% - Accent3 10 2 2" xfId="3339"/>
    <cellStyle name="40% - Accent3 10 2 2 2" xfId="12792"/>
    <cellStyle name="40% - Accent3 10 2 2 2 2" xfId="26504"/>
    <cellStyle name="40% - Accent3 10 2 2 3" xfId="20664"/>
    <cellStyle name="40% - Accent3 10 2 3" xfId="3340"/>
    <cellStyle name="40% - Accent3 10 2 3 2" xfId="15170"/>
    <cellStyle name="40% - Accent3 10 2 3 2 2" xfId="28719"/>
    <cellStyle name="40% - Accent3 10 2 3 3" xfId="20665"/>
    <cellStyle name="40% - Accent3 10 2 4" xfId="11022"/>
    <cellStyle name="40% - Accent3 10 2 4 2" xfId="24964"/>
    <cellStyle name="40% - Accent3 10 2 5" xfId="20663"/>
    <cellStyle name="40% - Accent3 10 3" xfId="3341"/>
    <cellStyle name="40% - Accent3 10 3 2" xfId="12706"/>
    <cellStyle name="40% - Accent3 10 3 2 2" xfId="26418"/>
    <cellStyle name="40% - Accent3 10 3 3" xfId="20666"/>
    <cellStyle name="40% - Accent3 10 4" xfId="3342"/>
    <cellStyle name="40% - Accent3 10 4 2" xfId="15169"/>
    <cellStyle name="40% - Accent3 10 4 2 2" xfId="28718"/>
    <cellStyle name="40% - Accent3 10 4 3" xfId="20667"/>
    <cellStyle name="40% - Accent3 10 5" xfId="3343"/>
    <cellStyle name="40% - Accent3 10 5 2" xfId="17193"/>
    <cellStyle name="40% - Accent3 10 5 2 2" xfId="30552"/>
    <cellStyle name="40% - Accent3 10 5 3" xfId="20668"/>
    <cellStyle name="40% - Accent3 10 6" xfId="9295"/>
    <cellStyle name="40% - Accent3 10 6 2" xfId="23770"/>
    <cellStyle name="40% - Accent3 10 7" xfId="20662"/>
    <cellStyle name="40% - Accent3 11" xfId="3344"/>
    <cellStyle name="40% - Accent3 11 2" xfId="3345"/>
    <cellStyle name="40% - Accent3 11 2 2" xfId="11023"/>
    <cellStyle name="40% - Accent3 11 2 2 2" xfId="24965"/>
    <cellStyle name="40% - Accent3 11 2 3" xfId="20670"/>
    <cellStyle name="40% - Accent3 11 3" xfId="3346"/>
    <cellStyle name="40% - Accent3 11 3 2" xfId="12625"/>
    <cellStyle name="40% - Accent3 11 3 2 2" xfId="26337"/>
    <cellStyle name="40% - Accent3 11 3 3" xfId="20671"/>
    <cellStyle name="40% - Accent3 11 4" xfId="3347"/>
    <cellStyle name="40% - Accent3 11 4 2" xfId="15171"/>
    <cellStyle name="40% - Accent3 11 4 2 2" xfId="28720"/>
    <cellStyle name="40% - Accent3 11 4 3" xfId="20672"/>
    <cellStyle name="40% - Accent3 11 5" xfId="3348"/>
    <cellStyle name="40% - Accent3 11 5 2" xfId="17282"/>
    <cellStyle name="40% - Accent3 11 5 2 2" xfId="30641"/>
    <cellStyle name="40% - Accent3 11 5 3" xfId="20673"/>
    <cellStyle name="40% - Accent3 11 6" xfId="9296"/>
    <cellStyle name="40% - Accent3 11 6 2" xfId="23771"/>
    <cellStyle name="40% - Accent3 11 7" xfId="20669"/>
    <cellStyle name="40% - Accent3 12" xfId="3349"/>
    <cellStyle name="40% - Accent3 12 2" xfId="3350"/>
    <cellStyle name="40% - Accent3 12 2 2" xfId="3351"/>
    <cellStyle name="40% - Accent3 12 2 2 2" xfId="11025"/>
    <cellStyle name="40% - Accent3 12 2 2 2 2" xfId="24967"/>
    <cellStyle name="40% - Accent3 12 2 2 3" xfId="20676"/>
    <cellStyle name="40% - Accent3 12 2 3" xfId="3352"/>
    <cellStyle name="40% - Accent3 12 2 3 2" xfId="12637"/>
    <cellStyle name="40% - Accent3 12 2 3 2 2" xfId="26349"/>
    <cellStyle name="40% - Accent3 12 2 3 3" xfId="20677"/>
    <cellStyle name="40% - Accent3 12 2 4" xfId="3353"/>
    <cellStyle name="40% - Accent3 12 2 4 2" xfId="15173"/>
    <cellStyle name="40% - Accent3 12 2 4 2 2" xfId="28722"/>
    <cellStyle name="40% - Accent3 12 2 4 3" xfId="20678"/>
    <cellStyle name="40% - Accent3 12 2 5" xfId="9298"/>
    <cellStyle name="40% - Accent3 12 2 5 2" xfId="23773"/>
    <cellStyle name="40% - Accent3 12 2 6" xfId="20675"/>
    <cellStyle name="40% - Accent3 12 3" xfId="3354"/>
    <cellStyle name="40% - Accent3 12 3 2" xfId="11024"/>
    <cellStyle name="40% - Accent3 12 3 2 2" xfId="24966"/>
    <cellStyle name="40% - Accent3 12 3 3" xfId="20679"/>
    <cellStyle name="40% - Accent3 12 4" xfId="3355"/>
    <cellStyle name="40% - Accent3 12 4 2" xfId="11894"/>
    <cellStyle name="40% - Accent3 12 4 2 2" xfId="25609"/>
    <cellStyle name="40% - Accent3 12 4 3" xfId="20680"/>
    <cellStyle name="40% - Accent3 12 5" xfId="3356"/>
    <cellStyle name="40% - Accent3 12 5 2" xfId="15172"/>
    <cellStyle name="40% - Accent3 12 5 2 2" xfId="28721"/>
    <cellStyle name="40% - Accent3 12 5 3" xfId="20681"/>
    <cellStyle name="40% - Accent3 12 6" xfId="3357"/>
    <cellStyle name="40% - Accent3 12 6 2" xfId="16434"/>
    <cellStyle name="40% - Accent3 12 6 2 2" xfId="29841"/>
    <cellStyle name="40% - Accent3 12 6 3" xfId="20682"/>
    <cellStyle name="40% - Accent3 12 7" xfId="9297"/>
    <cellStyle name="40% - Accent3 12 7 2" xfId="23772"/>
    <cellStyle name="40% - Accent3 12 8" xfId="20674"/>
    <cellStyle name="40% - Accent3 13" xfId="3358"/>
    <cellStyle name="40% - Accent3 13 2" xfId="3359"/>
    <cellStyle name="40% - Accent3 13 2 2" xfId="11026"/>
    <cellStyle name="40% - Accent3 13 2 2 2" xfId="24968"/>
    <cellStyle name="40% - Accent3 13 2 3" xfId="20684"/>
    <cellStyle name="40% - Accent3 13 3" xfId="3360"/>
    <cellStyle name="40% - Accent3 13 3 2" xfId="11890"/>
    <cellStyle name="40% - Accent3 13 3 2 2" xfId="25605"/>
    <cellStyle name="40% - Accent3 13 3 3" xfId="20685"/>
    <cellStyle name="40% - Accent3 13 4" xfId="3361"/>
    <cellStyle name="40% - Accent3 13 4 2" xfId="15174"/>
    <cellStyle name="40% - Accent3 13 4 2 2" xfId="28723"/>
    <cellStyle name="40% - Accent3 13 4 3" xfId="20686"/>
    <cellStyle name="40% - Accent3 13 5" xfId="9299"/>
    <cellStyle name="40% - Accent3 13 5 2" xfId="23774"/>
    <cellStyle name="40% - Accent3 13 6" xfId="20683"/>
    <cellStyle name="40% - Accent3 14" xfId="3362"/>
    <cellStyle name="40% - Accent3 14 2" xfId="3363"/>
    <cellStyle name="40% - Accent3 14 2 2" xfId="11027"/>
    <cellStyle name="40% - Accent3 14 2 2 2" xfId="24969"/>
    <cellStyle name="40% - Accent3 14 2 3" xfId="20688"/>
    <cellStyle name="40% - Accent3 14 3" xfId="3364"/>
    <cellStyle name="40% - Accent3 14 3 2" xfId="12629"/>
    <cellStyle name="40% - Accent3 14 3 2 2" xfId="26341"/>
    <cellStyle name="40% - Accent3 14 3 3" xfId="20689"/>
    <cellStyle name="40% - Accent3 14 4" xfId="3365"/>
    <cellStyle name="40% - Accent3 14 4 2" xfId="15175"/>
    <cellStyle name="40% - Accent3 14 4 2 2" xfId="28724"/>
    <cellStyle name="40% - Accent3 14 4 3" xfId="20690"/>
    <cellStyle name="40% - Accent3 14 5" xfId="9300"/>
    <cellStyle name="40% - Accent3 14 5 2" xfId="23775"/>
    <cellStyle name="40% - Accent3 14 6" xfId="20687"/>
    <cellStyle name="40% - Accent3 15" xfId="3366"/>
    <cellStyle name="40% - Accent3 15 2" xfId="3367"/>
    <cellStyle name="40% - Accent3 15 2 2" xfId="11028"/>
    <cellStyle name="40% - Accent3 15 2 2 2" xfId="24970"/>
    <cellStyle name="40% - Accent3 15 2 3" xfId="20692"/>
    <cellStyle name="40% - Accent3 15 3" xfId="3368"/>
    <cellStyle name="40% - Accent3 15 3 2" xfId="12571"/>
    <cellStyle name="40% - Accent3 15 3 2 2" xfId="26283"/>
    <cellStyle name="40% - Accent3 15 3 3" xfId="20693"/>
    <cellStyle name="40% - Accent3 15 4" xfId="3369"/>
    <cellStyle name="40% - Accent3 15 4 2" xfId="15176"/>
    <cellStyle name="40% - Accent3 15 4 2 2" xfId="28725"/>
    <cellStyle name="40% - Accent3 15 4 3" xfId="20694"/>
    <cellStyle name="40% - Accent3 15 5" xfId="9301"/>
    <cellStyle name="40% - Accent3 15 5 2" xfId="23776"/>
    <cellStyle name="40% - Accent3 15 6" xfId="20691"/>
    <cellStyle name="40% - Accent3 16" xfId="3370"/>
    <cellStyle name="40% - Accent3 16 2" xfId="3371"/>
    <cellStyle name="40% - Accent3 16 2 2" xfId="11029"/>
    <cellStyle name="40% - Accent3 16 2 2 2" xfId="24971"/>
    <cellStyle name="40% - Accent3 16 2 3" xfId="20696"/>
    <cellStyle name="40% - Accent3 16 3" xfId="3372"/>
    <cellStyle name="40% - Accent3 16 3 2" xfId="11862"/>
    <cellStyle name="40% - Accent3 16 3 2 2" xfId="25577"/>
    <cellStyle name="40% - Accent3 16 3 3" xfId="20697"/>
    <cellStyle name="40% - Accent3 16 4" xfId="3373"/>
    <cellStyle name="40% - Accent3 16 4 2" xfId="15177"/>
    <cellStyle name="40% - Accent3 16 4 2 2" xfId="28726"/>
    <cellStyle name="40% - Accent3 16 4 3" xfId="20698"/>
    <cellStyle name="40% - Accent3 16 5" xfId="9302"/>
    <cellStyle name="40% - Accent3 16 5 2" xfId="23777"/>
    <cellStyle name="40% - Accent3 16 6" xfId="20695"/>
    <cellStyle name="40% - Accent3 17" xfId="3374"/>
    <cellStyle name="40% - Accent3 17 2" xfId="3375"/>
    <cellStyle name="40% - Accent3 17 2 2" xfId="11030"/>
    <cellStyle name="40% - Accent3 17 2 2 2" xfId="24972"/>
    <cellStyle name="40% - Accent3 17 2 3" xfId="20700"/>
    <cellStyle name="40% - Accent3 17 3" xfId="3376"/>
    <cellStyle name="40% - Accent3 17 3 2" xfId="11793"/>
    <cellStyle name="40% - Accent3 17 3 2 2" xfId="25508"/>
    <cellStyle name="40% - Accent3 17 3 3" xfId="20701"/>
    <cellStyle name="40% - Accent3 17 4" xfId="3377"/>
    <cellStyle name="40% - Accent3 17 4 2" xfId="15178"/>
    <cellStyle name="40% - Accent3 17 4 2 2" xfId="28727"/>
    <cellStyle name="40% - Accent3 17 4 3" xfId="20702"/>
    <cellStyle name="40% - Accent3 17 5" xfId="9303"/>
    <cellStyle name="40% - Accent3 17 5 2" xfId="23778"/>
    <cellStyle name="40% - Accent3 17 6" xfId="20699"/>
    <cellStyle name="40% - Accent3 18" xfId="3378"/>
    <cellStyle name="40% - Accent3 18 2" xfId="3379"/>
    <cellStyle name="40% - Accent3 18 2 2" xfId="11031"/>
    <cellStyle name="40% - Accent3 18 2 2 2" xfId="24973"/>
    <cellStyle name="40% - Accent3 18 2 3" xfId="20704"/>
    <cellStyle name="40% - Accent3 18 3" xfId="3380"/>
    <cellStyle name="40% - Accent3 18 3 2" xfId="12617"/>
    <cellStyle name="40% - Accent3 18 3 2 2" xfId="26329"/>
    <cellStyle name="40% - Accent3 18 3 3" xfId="20705"/>
    <cellStyle name="40% - Accent3 18 4" xfId="3381"/>
    <cellStyle name="40% - Accent3 18 4 2" xfId="15179"/>
    <cellStyle name="40% - Accent3 18 4 2 2" xfId="28728"/>
    <cellStyle name="40% - Accent3 18 4 3" xfId="20706"/>
    <cellStyle name="40% - Accent3 18 5" xfId="9304"/>
    <cellStyle name="40% - Accent3 18 5 2" xfId="23779"/>
    <cellStyle name="40% - Accent3 18 6" xfId="20703"/>
    <cellStyle name="40% - Accent3 19" xfId="3382"/>
    <cellStyle name="40% - Accent3 19 2" xfId="3383"/>
    <cellStyle name="40% - Accent3 19 2 2" xfId="11718"/>
    <cellStyle name="40% - Accent3 19 2 2 2" xfId="25438"/>
    <cellStyle name="40% - Accent3 19 2 3" xfId="20708"/>
    <cellStyle name="40% - Accent3 19 3" xfId="3384"/>
    <cellStyle name="40% - Accent3 19 3 2" xfId="12807"/>
    <cellStyle name="40% - Accent3 19 3 2 2" xfId="26519"/>
    <cellStyle name="40% - Accent3 19 3 3" xfId="20709"/>
    <cellStyle name="40% - Accent3 19 4" xfId="3385"/>
    <cellStyle name="40% - Accent3 19 4 2" xfId="15180"/>
    <cellStyle name="40% - Accent3 19 4 2 2" xfId="28729"/>
    <cellStyle name="40% - Accent3 19 4 3" xfId="20710"/>
    <cellStyle name="40% - Accent3 19 5" xfId="10470"/>
    <cellStyle name="40% - Accent3 19 5 2" xfId="24429"/>
    <cellStyle name="40% - Accent3 19 6" xfId="20707"/>
    <cellStyle name="40% - Accent3 2" xfId="3386"/>
    <cellStyle name="40% - Accent3 2 10" xfId="3387"/>
    <cellStyle name="40% - Accent3 2 10 2" xfId="3388"/>
    <cellStyle name="40% - Accent3 2 10 2 2" xfId="15182"/>
    <cellStyle name="40% - Accent3 2 10 2 2 2" xfId="28731"/>
    <cellStyle name="40% - Accent3 2 10 2 3" xfId="20713"/>
    <cellStyle name="40% - Accent3 2 10 3" xfId="11841"/>
    <cellStyle name="40% - Accent3 2 10 3 2" xfId="25556"/>
    <cellStyle name="40% - Accent3 2 10 4" xfId="20712"/>
    <cellStyle name="40% - Accent3 2 11" xfId="3389"/>
    <cellStyle name="40% - Accent3 2 11 2" xfId="11751"/>
    <cellStyle name="40% - Accent3 2 11 2 2" xfId="25466"/>
    <cellStyle name="40% - Accent3 2 11 3" xfId="20714"/>
    <cellStyle name="40% - Accent3 2 12" xfId="3390"/>
    <cellStyle name="40% - Accent3 2 12 2" xfId="13440"/>
    <cellStyle name="40% - Accent3 2 12 2 2" xfId="26989"/>
    <cellStyle name="40% - Accent3 2 12 3" xfId="20715"/>
    <cellStyle name="40% - Accent3 2 13" xfId="3391"/>
    <cellStyle name="40% - Accent3 2 13 2" xfId="14021"/>
    <cellStyle name="40% - Accent3 2 13 2 2" xfId="27570"/>
    <cellStyle name="40% - Accent3 2 13 3" xfId="20716"/>
    <cellStyle name="40% - Accent3 2 14" xfId="3392"/>
    <cellStyle name="40% - Accent3 2 14 2" xfId="15181"/>
    <cellStyle name="40% - Accent3 2 14 2 2" xfId="28730"/>
    <cellStyle name="40% - Accent3 2 14 3" xfId="20717"/>
    <cellStyle name="40% - Accent3 2 15" xfId="3393"/>
    <cellStyle name="40% - Accent3 2 15 2" xfId="15907"/>
    <cellStyle name="40% - Accent3 2 15 2 2" xfId="29314"/>
    <cellStyle name="40% - Accent3 2 15 3" xfId="20718"/>
    <cellStyle name="40% - Accent3 2 16" xfId="9305"/>
    <cellStyle name="40% - Accent3 2 16 2" xfId="23780"/>
    <cellStyle name="40% - Accent3 2 17" xfId="20711"/>
    <cellStyle name="40% - Accent3 2 18" xfId="33071"/>
    <cellStyle name="40% - Accent3 2 2" xfId="3394"/>
    <cellStyle name="40% - Accent3 2 2 10" xfId="3395"/>
    <cellStyle name="40% - Accent3 2 2 10 2" xfId="15183"/>
    <cellStyle name="40% - Accent3 2 2 10 2 2" xfId="28732"/>
    <cellStyle name="40% - Accent3 2 2 10 3" xfId="20720"/>
    <cellStyle name="40% - Accent3 2 2 11" xfId="3396"/>
    <cellStyle name="40% - Accent3 2 2 11 2" xfId="15953"/>
    <cellStyle name="40% - Accent3 2 2 11 2 2" xfId="29360"/>
    <cellStyle name="40% - Accent3 2 2 11 3" xfId="20721"/>
    <cellStyle name="40% - Accent3 2 2 12" xfId="9306"/>
    <cellStyle name="40% - Accent3 2 2 12 2" xfId="23781"/>
    <cellStyle name="40% - Accent3 2 2 13" xfId="20719"/>
    <cellStyle name="40% - Accent3 2 2 2" xfId="3397"/>
    <cellStyle name="40% - Accent3 2 2 2 10" xfId="3398"/>
    <cellStyle name="40% - Accent3 2 2 2 10 2" xfId="16096"/>
    <cellStyle name="40% - Accent3 2 2 2 10 2 2" xfId="29503"/>
    <cellStyle name="40% - Accent3 2 2 2 10 3" xfId="20723"/>
    <cellStyle name="40% - Accent3 2 2 2 11" xfId="9307"/>
    <cellStyle name="40% - Accent3 2 2 2 11 2" xfId="23782"/>
    <cellStyle name="40% - Accent3 2 2 2 12" xfId="20722"/>
    <cellStyle name="40% - Accent3 2 2 2 2" xfId="3399"/>
    <cellStyle name="40% - Accent3 2 2 2 2 10" xfId="9308"/>
    <cellStyle name="40% - Accent3 2 2 2 2 10 2" xfId="23783"/>
    <cellStyle name="40% - Accent3 2 2 2 2 11" xfId="20724"/>
    <cellStyle name="40% - Accent3 2 2 2 2 2" xfId="3400"/>
    <cellStyle name="40% - Accent3 2 2 2 2 2 2" xfId="3401"/>
    <cellStyle name="40% - Accent3 2 2 2 2 2 2 2" xfId="11036"/>
    <cellStyle name="40% - Accent3 2 2 2 2 2 2 2 2" xfId="24978"/>
    <cellStyle name="40% - Accent3 2 2 2 2 2 2 3" xfId="20726"/>
    <cellStyle name="40% - Accent3 2 2 2 2 2 3" xfId="3402"/>
    <cellStyle name="40% - Accent3 2 2 2 2 2 3 2" xfId="12670"/>
    <cellStyle name="40% - Accent3 2 2 2 2 2 3 2 2" xfId="26382"/>
    <cellStyle name="40% - Accent3 2 2 2 2 2 3 3" xfId="20727"/>
    <cellStyle name="40% - Accent3 2 2 2 2 2 4" xfId="3403"/>
    <cellStyle name="40% - Accent3 2 2 2 2 2 4 2" xfId="15186"/>
    <cellStyle name="40% - Accent3 2 2 2 2 2 4 2 2" xfId="28735"/>
    <cellStyle name="40% - Accent3 2 2 2 2 2 4 3" xfId="20728"/>
    <cellStyle name="40% - Accent3 2 2 2 2 2 5" xfId="3404"/>
    <cellStyle name="40% - Accent3 2 2 2 2 2 5 2" xfId="16966"/>
    <cellStyle name="40% - Accent3 2 2 2 2 2 5 2 2" xfId="30373"/>
    <cellStyle name="40% - Accent3 2 2 2 2 2 5 3" xfId="20729"/>
    <cellStyle name="40% - Accent3 2 2 2 2 2 6" xfId="9309"/>
    <cellStyle name="40% - Accent3 2 2 2 2 2 6 2" xfId="23784"/>
    <cellStyle name="40% - Accent3 2 2 2 2 2 7" xfId="20725"/>
    <cellStyle name="40% - Accent3 2 2 2 2 3" xfId="3405"/>
    <cellStyle name="40% - Accent3 2 2 2 2 3 2" xfId="3406"/>
    <cellStyle name="40% - Accent3 2 2 2 2 3 2 2" xfId="15187"/>
    <cellStyle name="40% - Accent3 2 2 2 2 3 2 2 2" xfId="28736"/>
    <cellStyle name="40% - Accent3 2 2 2 2 3 2 3" xfId="20731"/>
    <cellStyle name="40% - Accent3 2 2 2 2 3 3" xfId="11035"/>
    <cellStyle name="40% - Accent3 2 2 2 2 3 3 2" xfId="24977"/>
    <cellStyle name="40% - Accent3 2 2 2 2 3 4" xfId="20730"/>
    <cellStyle name="40% - Accent3 2 2 2 2 4" xfId="3407"/>
    <cellStyle name="40% - Accent3 2 2 2 2 4 2" xfId="12354"/>
    <cellStyle name="40% - Accent3 2 2 2 2 4 2 2" xfId="26066"/>
    <cellStyle name="40% - Accent3 2 2 2 2 4 3" xfId="20732"/>
    <cellStyle name="40% - Accent3 2 2 2 2 5" xfId="3408"/>
    <cellStyle name="40% - Accent3 2 2 2 2 5 2" xfId="12633"/>
    <cellStyle name="40% - Accent3 2 2 2 2 5 2 2" xfId="26345"/>
    <cellStyle name="40% - Accent3 2 2 2 2 5 3" xfId="20733"/>
    <cellStyle name="40% - Accent3 2 2 2 2 6" xfId="3409"/>
    <cellStyle name="40% - Accent3 2 2 2 2 6 2" xfId="13918"/>
    <cellStyle name="40% - Accent3 2 2 2 2 6 2 2" xfId="27467"/>
    <cellStyle name="40% - Accent3 2 2 2 2 6 3" xfId="20734"/>
    <cellStyle name="40% - Accent3 2 2 2 2 7" xfId="3410"/>
    <cellStyle name="40% - Accent3 2 2 2 2 7 2" xfId="14499"/>
    <cellStyle name="40% - Accent3 2 2 2 2 7 2 2" xfId="28048"/>
    <cellStyle name="40% - Accent3 2 2 2 2 7 3" xfId="20735"/>
    <cellStyle name="40% - Accent3 2 2 2 2 8" xfId="3411"/>
    <cellStyle name="40% - Accent3 2 2 2 2 8 2" xfId="15185"/>
    <cellStyle name="40% - Accent3 2 2 2 2 8 2 2" xfId="28734"/>
    <cellStyle name="40% - Accent3 2 2 2 2 8 3" xfId="20736"/>
    <cellStyle name="40% - Accent3 2 2 2 2 9" xfId="3412"/>
    <cellStyle name="40% - Accent3 2 2 2 2 9 2" xfId="16385"/>
    <cellStyle name="40% - Accent3 2 2 2 2 9 2 2" xfId="29792"/>
    <cellStyle name="40% - Accent3 2 2 2 2 9 3" xfId="20737"/>
    <cellStyle name="40% - Accent3 2 2 2 3" xfId="3413"/>
    <cellStyle name="40% - Accent3 2 2 2 3 2" xfId="3414"/>
    <cellStyle name="40% - Accent3 2 2 2 3 2 2" xfId="11037"/>
    <cellStyle name="40% - Accent3 2 2 2 3 2 2 2" xfId="24979"/>
    <cellStyle name="40% - Accent3 2 2 2 3 2 3" xfId="20739"/>
    <cellStyle name="40% - Accent3 2 2 2 3 3" xfId="3415"/>
    <cellStyle name="40% - Accent3 2 2 2 3 3 2" xfId="12492"/>
    <cellStyle name="40% - Accent3 2 2 2 3 3 2 2" xfId="26204"/>
    <cellStyle name="40% - Accent3 2 2 2 3 3 3" xfId="20740"/>
    <cellStyle name="40% - Accent3 2 2 2 3 4" xfId="3416"/>
    <cellStyle name="40% - Accent3 2 2 2 3 4 2" xfId="15188"/>
    <cellStyle name="40% - Accent3 2 2 2 3 4 2 2" xfId="28737"/>
    <cellStyle name="40% - Accent3 2 2 2 3 4 3" xfId="20741"/>
    <cellStyle name="40% - Accent3 2 2 2 3 5" xfId="3417"/>
    <cellStyle name="40% - Accent3 2 2 2 3 5 2" xfId="16677"/>
    <cellStyle name="40% - Accent3 2 2 2 3 5 2 2" xfId="30084"/>
    <cellStyle name="40% - Accent3 2 2 2 3 5 3" xfId="20742"/>
    <cellStyle name="40% - Accent3 2 2 2 3 6" xfId="9310"/>
    <cellStyle name="40% - Accent3 2 2 2 3 6 2" xfId="23785"/>
    <cellStyle name="40% - Accent3 2 2 2 3 7" xfId="20738"/>
    <cellStyle name="40% - Accent3 2 2 2 4" xfId="3418"/>
    <cellStyle name="40% - Accent3 2 2 2 4 2" xfId="3419"/>
    <cellStyle name="40% - Accent3 2 2 2 4 2 2" xfId="15189"/>
    <cellStyle name="40% - Accent3 2 2 2 4 2 2 2" xfId="28738"/>
    <cellStyle name="40% - Accent3 2 2 2 4 2 3" xfId="20744"/>
    <cellStyle name="40% - Accent3 2 2 2 4 3" xfId="11034"/>
    <cellStyle name="40% - Accent3 2 2 2 4 3 2" xfId="24976"/>
    <cellStyle name="40% - Accent3 2 2 2 4 4" xfId="20743"/>
    <cellStyle name="40% - Accent3 2 2 2 5" xfId="3420"/>
    <cellStyle name="40% - Accent3 2 2 2 5 2" xfId="12054"/>
    <cellStyle name="40% - Accent3 2 2 2 5 2 2" xfId="25769"/>
    <cellStyle name="40% - Accent3 2 2 2 5 3" xfId="20745"/>
    <cellStyle name="40% - Accent3 2 2 2 6" xfId="3421"/>
    <cellStyle name="40% - Accent3 2 2 2 6 2" xfId="12468"/>
    <cellStyle name="40% - Accent3 2 2 2 6 2 2" xfId="26180"/>
    <cellStyle name="40% - Accent3 2 2 2 6 3" xfId="20746"/>
    <cellStyle name="40% - Accent3 2 2 2 7" xfId="3422"/>
    <cellStyle name="40% - Accent3 2 2 2 7 2" xfId="13629"/>
    <cellStyle name="40% - Accent3 2 2 2 7 2 2" xfId="27178"/>
    <cellStyle name="40% - Accent3 2 2 2 7 3" xfId="20747"/>
    <cellStyle name="40% - Accent3 2 2 2 8" xfId="3423"/>
    <cellStyle name="40% - Accent3 2 2 2 8 2" xfId="14210"/>
    <cellStyle name="40% - Accent3 2 2 2 8 2 2" xfId="27759"/>
    <cellStyle name="40% - Accent3 2 2 2 8 3" xfId="20748"/>
    <cellStyle name="40% - Accent3 2 2 2 9" xfId="3424"/>
    <cellStyle name="40% - Accent3 2 2 2 9 2" xfId="15184"/>
    <cellStyle name="40% - Accent3 2 2 2 9 2 2" xfId="28733"/>
    <cellStyle name="40% - Accent3 2 2 2 9 3" xfId="20749"/>
    <cellStyle name="40% - Accent3 2 2 3" xfId="3425"/>
    <cellStyle name="40% - Accent3 2 2 3 10" xfId="9311"/>
    <cellStyle name="40% - Accent3 2 2 3 10 2" xfId="23786"/>
    <cellStyle name="40% - Accent3 2 2 3 11" xfId="20750"/>
    <cellStyle name="40% - Accent3 2 2 3 2" xfId="3426"/>
    <cellStyle name="40% - Accent3 2 2 3 2 2" xfId="3427"/>
    <cellStyle name="40% - Accent3 2 2 3 2 2 2" xfId="11039"/>
    <cellStyle name="40% - Accent3 2 2 3 2 2 2 2" xfId="24981"/>
    <cellStyle name="40% - Accent3 2 2 3 2 2 3" xfId="20752"/>
    <cellStyle name="40% - Accent3 2 2 3 2 3" xfId="3428"/>
    <cellStyle name="40% - Accent3 2 2 3 2 3 2" xfId="12725"/>
    <cellStyle name="40% - Accent3 2 2 3 2 3 2 2" xfId="26437"/>
    <cellStyle name="40% - Accent3 2 2 3 2 3 3" xfId="20753"/>
    <cellStyle name="40% - Accent3 2 2 3 2 4" xfId="3429"/>
    <cellStyle name="40% - Accent3 2 2 3 2 4 2" xfId="15191"/>
    <cellStyle name="40% - Accent3 2 2 3 2 4 2 2" xfId="28740"/>
    <cellStyle name="40% - Accent3 2 2 3 2 4 3" xfId="20754"/>
    <cellStyle name="40% - Accent3 2 2 3 2 5" xfId="3430"/>
    <cellStyle name="40% - Accent3 2 2 3 2 5 2" xfId="16823"/>
    <cellStyle name="40% - Accent3 2 2 3 2 5 2 2" xfId="30230"/>
    <cellStyle name="40% - Accent3 2 2 3 2 5 3" xfId="20755"/>
    <cellStyle name="40% - Accent3 2 2 3 2 6" xfId="9312"/>
    <cellStyle name="40% - Accent3 2 2 3 2 6 2" xfId="23787"/>
    <cellStyle name="40% - Accent3 2 2 3 2 7" xfId="20751"/>
    <cellStyle name="40% - Accent3 2 2 3 3" xfId="3431"/>
    <cellStyle name="40% - Accent3 2 2 3 3 2" xfId="3432"/>
    <cellStyle name="40% - Accent3 2 2 3 3 2 2" xfId="15192"/>
    <cellStyle name="40% - Accent3 2 2 3 3 2 2 2" xfId="28741"/>
    <cellStyle name="40% - Accent3 2 2 3 3 2 3" xfId="20757"/>
    <cellStyle name="40% - Accent3 2 2 3 3 3" xfId="11038"/>
    <cellStyle name="40% - Accent3 2 2 3 3 3 2" xfId="24980"/>
    <cellStyle name="40% - Accent3 2 2 3 3 4" xfId="20756"/>
    <cellStyle name="40% - Accent3 2 2 3 4" xfId="3433"/>
    <cellStyle name="40% - Accent3 2 2 3 4 2" xfId="12211"/>
    <cellStyle name="40% - Accent3 2 2 3 4 2 2" xfId="25923"/>
    <cellStyle name="40% - Accent3 2 2 3 4 3" xfId="20758"/>
    <cellStyle name="40% - Accent3 2 2 3 5" xfId="3434"/>
    <cellStyle name="40% - Accent3 2 2 3 5 2" xfId="12501"/>
    <cellStyle name="40% - Accent3 2 2 3 5 2 2" xfId="26213"/>
    <cellStyle name="40% - Accent3 2 2 3 5 3" xfId="20759"/>
    <cellStyle name="40% - Accent3 2 2 3 6" xfId="3435"/>
    <cellStyle name="40% - Accent3 2 2 3 6 2" xfId="13775"/>
    <cellStyle name="40% - Accent3 2 2 3 6 2 2" xfId="27324"/>
    <cellStyle name="40% - Accent3 2 2 3 6 3" xfId="20760"/>
    <cellStyle name="40% - Accent3 2 2 3 7" xfId="3436"/>
    <cellStyle name="40% - Accent3 2 2 3 7 2" xfId="14356"/>
    <cellStyle name="40% - Accent3 2 2 3 7 2 2" xfId="27905"/>
    <cellStyle name="40% - Accent3 2 2 3 7 3" xfId="20761"/>
    <cellStyle name="40% - Accent3 2 2 3 8" xfId="3437"/>
    <cellStyle name="40% - Accent3 2 2 3 8 2" xfId="15190"/>
    <cellStyle name="40% - Accent3 2 2 3 8 2 2" xfId="28739"/>
    <cellStyle name="40% - Accent3 2 2 3 8 3" xfId="20762"/>
    <cellStyle name="40% - Accent3 2 2 3 9" xfId="3438"/>
    <cellStyle name="40% - Accent3 2 2 3 9 2" xfId="16242"/>
    <cellStyle name="40% - Accent3 2 2 3 9 2 2" xfId="29649"/>
    <cellStyle name="40% - Accent3 2 2 3 9 3" xfId="20763"/>
    <cellStyle name="40% - Accent3 2 2 4" xfId="3439"/>
    <cellStyle name="40% - Accent3 2 2 4 2" xfId="3440"/>
    <cellStyle name="40% - Accent3 2 2 4 2 2" xfId="11040"/>
    <cellStyle name="40% - Accent3 2 2 4 2 2 2" xfId="24982"/>
    <cellStyle name="40% - Accent3 2 2 4 2 3" xfId="20765"/>
    <cellStyle name="40% - Accent3 2 2 4 3" xfId="3441"/>
    <cellStyle name="40% - Accent3 2 2 4 3 2" xfId="12391"/>
    <cellStyle name="40% - Accent3 2 2 4 3 2 2" xfId="26103"/>
    <cellStyle name="40% - Accent3 2 2 4 3 3" xfId="20766"/>
    <cellStyle name="40% - Accent3 2 2 4 4" xfId="3442"/>
    <cellStyle name="40% - Accent3 2 2 4 4 2" xfId="15193"/>
    <cellStyle name="40% - Accent3 2 2 4 4 2 2" xfId="28742"/>
    <cellStyle name="40% - Accent3 2 2 4 4 3" xfId="20767"/>
    <cellStyle name="40% - Accent3 2 2 4 5" xfId="3443"/>
    <cellStyle name="40% - Accent3 2 2 4 5 2" xfId="17170"/>
    <cellStyle name="40% - Accent3 2 2 4 5 2 2" xfId="30529"/>
    <cellStyle name="40% - Accent3 2 2 4 5 3" xfId="20768"/>
    <cellStyle name="40% - Accent3 2 2 4 6" xfId="9313"/>
    <cellStyle name="40% - Accent3 2 2 4 6 2" xfId="23788"/>
    <cellStyle name="40% - Accent3 2 2 4 7" xfId="20764"/>
    <cellStyle name="40% - Accent3 2 2 5" xfId="3444"/>
    <cellStyle name="40% - Accent3 2 2 5 2" xfId="3445"/>
    <cellStyle name="40% - Accent3 2 2 5 2 2" xfId="15194"/>
    <cellStyle name="40% - Accent3 2 2 5 2 2 2" xfId="28743"/>
    <cellStyle name="40% - Accent3 2 2 5 2 3" xfId="20770"/>
    <cellStyle name="40% - Accent3 2 2 5 3" xfId="3446"/>
    <cellStyle name="40% - Accent3 2 2 5 3 2" xfId="17259"/>
    <cellStyle name="40% - Accent3 2 2 5 3 2 2" xfId="30618"/>
    <cellStyle name="40% - Accent3 2 2 5 3 3" xfId="20771"/>
    <cellStyle name="40% - Accent3 2 2 5 4" xfId="11033"/>
    <cellStyle name="40% - Accent3 2 2 5 4 2" xfId="24975"/>
    <cellStyle name="40% - Accent3 2 2 5 5" xfId="20769"/>
    <cellStyle name="40% - Accent3 2 2 6" xfId="3447"/>
    <cellStyle name="40% - Accent3 2 2 6 2" xfId="3448"/>
    <cellStyle name="40% - Accent3 2 2 6 2 2" xfId="16534"/>
    <cellStyle name="40% - Accent3 2 2 6 2 2 2" xfId="29941"/>
    <cellStyle name="40% - Accent3 2 2 6 2 3" xfId="20773"/>
    <cellStyle name="40% - Accent3 2 2 6 3" xfId="11909"/>
    <cellStyle name="40% - Accent3 2 2 6 3 2" xfId="25624"/>
    <cellStyle name="40% - Accent3 2 2 6 4" xfId="20772"/>
    <cellStyle name="40% - Accent3 2 2 7" xfId="3449"/>
    <cellStyle name="40% - Accent3 2 2 7 2" xfId="12399"/>
    <cellStyle name="40% - Accent3 2 2 7 2 2" xfId="26111"/>
    <cellStyle name="40% - Accent3 2 2 7 3" xfId="20774"/>
    <cellStyle name="40% - Accent3 2 2 8" xfId="3450"/>
    <cellStyle name="40% - Accent3 2 2 8 2" xfId="13486"/>
    <cellStyle name="40% - Accent3 2 2 8 2 2" xfId="27035"/>
    <cellStyle name="40% - Accent3 2 2 8 3" xfId="20775"/>
    <cellStyle name="40% - Accent3 2 2 9" xfId="3451"/>
    <cellStyle name="40% - Accent3 2 2 9 2" xfId="14067"/>
    <cellStyle name="40% - Accent3 2 2 9 2 2" xfId="27616"/>
    <cellStyle name="40% - Accent3 2 2 9 3" xfId="20776"/>
    <cellStyle name="40% - Accent3 2 3" xfId="3452"/>
    <cellStyle name="40% - Accent3 2 3 10" xfId="3453"/>
    <cellStyle name="40% - Accent3 2 3 10 2" xfId="16050"/>
    <cellStyle name="40% - Accent3 2 3 10 2 2" xfId="29457"/>
    <cellStyle name="40% - Accent3 2 3 10 3" xfId="20778"/>
    <cellStyle name="40% - Accent3 2 3 11" xfId="9314"/>
    <cellStyle name="40% - Accent3 2 3 11 2" xfId="23789"/>
    <cellStyle name="40% - Accent3 2 3 12" xfId="20777"/>
    <cellStyle name="40% - Accent3 2 3 2" xfId="3454"/>
    <cellStyle name="40% - Accent3 2 3 2 10" xfId="9315"/>
    <cellStyle name="40% - Accent3 2 3 2 10 2" xfId="23790"/>
    <cellStyle name="40% - Accent3 2 3 2 11" xfId="20779"/>
    <cellStyle name="40% - Accent3 2 3 2 2" xfId="3455"/>
    <cellStyle name="40% - Accent3 2 3 2 2 2" xfId="3456"/>
    <cellStyle name="40% - Accent3 2 3 2 2 2 2" xfId="11043"/>
    <cellStyle name="40% - Accent3 2 3 2 2 2 2 2" xfId="24985"/>
    <cellStyle name="40% - Accent3 2 3 2 2 2 3" xfId="20781"/>
    <cellStyle name="40% - Accent3 2 3 2 2 3" xfId="3457"/>
    <cellStyle name="40% - Accent3 2 3 2 2 3 2" xfId="12430"/>
    <cellStyle name="40% - Accent3 2 3 2 2 3 2 2" xfId="26142"/>
    <cellStyle name="40% - Accent3 2 3 2 2 3 3" xfId="20782"/>
    <cellStyle name="40% - Accent3 2 3 2 2 4" xfId="3458"/>
    <cellStyle name="40% - Accent3 2 3 2 2 4 2" xfId="15197"/>
    <cellStyle name="40% - Accent3 2 3 2 2 4 2 2" xfId="28746"/>
    <cellStyle name="40% - Accent3 2 3 2 2 4 3" xfId="20783"/>
    <cellStyle name="40% - Accent3 2 3 2 2 5" xfId="3459"/>
    <cellStyle name="40% - Accent3 2 3 2 2 5 2" xfId="16920"/>
    <cellStyle name="40% - Accent3 2 3 2 2 5 2 2" xfId="30327"/>
    <cellStyle name="40% - Accent3 2 3 2 2 5 3" xfId="20784"/>
    <cellStyle name="40% - Accent3 2 3 2 2 6" xfId="9316"/>
    <cellStyle name="40% - Accent3 2 3 2 2 6 2" xfId="23791"/>
    <cellStyle name="40% - Accent3 2 3 2 2 7" xfId="20780"/>
    <cellStyle name="40% - Accent3 2 3 2 3" xfId="3460"/>
    <cellStyle name="40% - Accent3 2 3 2 3 2" xfId="3461"/>
    <cellStyle name="40% - Accent3 2 3 2 3 2 2" xfId="15198"/>
    <cellStyle name="40% - Accent3 2 3 2 3 2 2 2" xfId="28747"/>
    <cellStyle name="40% - Accent3 2 3 2 3 2 3" xfId="20786"/>
    <cellStyle name="40% - Accent3 2 3 2 3 3" xfId="11042"/>
    <cellStyle name="40% - Accent3 2 3 2 3 3 2" xfId="24984"/>
    <cellStyle name="40% - Accent3 2 3 2 3 4" xfId="20785"/>
    <cellStyle name="40% - Accent3 2 3 2 4" xfId="3462"/>
    <cellStyle name="40% - Accent3 2 3 2 4 2" xfId="12308"/>
    <cellStyle name="40% - Accent3 2 3 2 4 2 2" xfId="26020"/>
    <cellStyle name="40% - Accent3 2 3 2 4 3" xfId="20787"/>
    <cellStyle name="40% - Accent3 2 3 2 5" xfId="3463"/>
    <cellStyle name="40% - Accent3 2 3 2 5 2" xfId="12574"/>
    <cellStyle name="40% - Accent3 2 3 2 5 2 2" xfId="26286"/>
    <cellStyle name="40% - Accent3 2 3 2 5 3" xfId="20788"/>
    <cellStyle name="40% - Accent3 2 3 2 6" xfId="3464"/>
    <cellStyle name="40% - Accent3 2 3 2 6 2" xfId="13872"/>
    <cellStyle name="40% - Accent3 2 3 2 6 2 2" xfId="27421"/>
    <cellStyle name="40% - Accent3 2 3 2 6 3" xfId="20789"/>
    <cellStyle name="40% - Accent3 2 3 2 7" xfId="3465"/>
    <cellStyle name="40% - Accent3 2 3 2 7 2" xfId="14453"/>
    <cellStyle name="40% - Accent3 2 3 2 7 2 2" xfId="28002"/>
    <cellStyle name="40% - Accent3 2 3 2 7 3" xfId="20790"/>
    <cellStyle name="40% - Accent3 2 3 2 8" xfId="3466"/>
    <cellStyle name="40% - Accent3 2 3 2 8 2" xfId="15196"/>
    <cellStyle name="40% - Accent3 2 3 2 8 2 2" xfId="28745"/>
    <cellStyle name="40% - Accent3 2 3 2 8 3" xfId="20791"/>
    <cellStyle name="40% - Accent3 2 3 2 9" xfId="3467"/>
    <cellStyle name="40% - Accent3 2 3 2 9 2" xfId="16339"/>
    <cellStyle name="40% - Accent3 2 3 2 9 2 2" xfId="29746"/>
    <cellStyle name="40% - Accent3 2 3 2 9 3" xfId="20792"/>
    <cellStyle name="40% - Accent3 2 3 3" xfId="3468"/>
    <cellStyle name="40% - Accent3 2 3 3 2" xfId="3469"/>
    <cellStyle name="40% - Accent3 2 3 3 2 2" xfId="11044"/>
    <cellStyle name="40% - Accent3 2 3 3 2 2 2" xfId="24986"/>
    <cellStyle name="40% - Accent3 2 3 3 2 3" xfId="20794"/>
    <cellStyle name="40% - Accent3 2 3 3 3" xfId="3470"/>
    <cellStyle name="40% - Accent3 2 3 3 3 2" xfId="12813"/>
    <cellStyle name="40% - Accent3 2 3 3 3 2 2" xfId="26525"/>
    <cellStyle name="40% - Accent3 2 3 3 3 3" xfId="20795"/>
    <cellStyle name="40% - Accent3 2 3 3 4" xfId="3471"/>
    <cellStyle name="40% - Accent3 2 3 3 4 2" xfId="15199"/>
    <cellStyle name="40% - Accent3 2 3 3 4 2 2" xfId="28748"/>
    <cellStyle name="40% - Accent3 2 3 3 4 3" xfId="20796"/>
    <cellStyle name="40% - Accent3 2 3 3 5" xfId="3472"/>
    <cellStyle name="40% - Accent3 2 3 3 5 2" xfId="16631"/>
    <cellStyle name="40% - Accent3 2 3 3 5 2 2" xfId="30038"/>
    <cellStyle name="40% - Accent3 2 3 3 5 3" xfId="20797"/>
    <cellStyle name="40% - Accent3 2 3 3 6" xfId="9317"/>
    <cellStyle name="40% - Accent3 2 3 3 6 2" xfId="23792"/>
    <cellStyle name="40% - Accent3 2 3 3 7" xfId="20793"/>
    <cellStyle name="40% - Accent3 2 3 4" xfId="3473"/>
    <cellStyle name="40% - Accent3 2 3 4 2" xfId="3474"/>
    <cellStyle name="40% - Accent3 2 3 4 2 2" xfId="15200"/>
    <cellStyle name="40% - Accent3 2 3 4 2 2 2" xfId="28749"/>
    <cellStyle name="40% - Accent3 2 3 4 2 3" xfId="20799"/>
    <cellStyle name="40% - Accent3 2 3 4 3" xfId="11041"/>
    <cellStyle name="40% - Accent3 2 3 4 3 2" xfId="24983"/>
    <cellStyle name="40% - Accent3 2 3 4 4" xfId="20798"/>
    <cellStyle name="40% - Accent3 2 3 5" xfId="3475"/>
    <cellStyle name="40% - Accent3 2 3 5 2" xfId="12008"/>
    <cellStyle name="40% - Accent3 2 3 5 2 2" xfId="25723"/>
    <cellStyle name="40% - Accent3 2 3 5 3" xfId="20800"/>
    <cellStyle name="40% - Accent3 2 3 6" xfId="3476"/>
    <cellStyle name="40% - Accent3 2 3 6 2" xfId="12618"/>
    <cellStyle name="40% - Accent3 2 3 6 2 2" xfId="26330"/>
    <cellStyle name="40% - Accent3 2 3 6 3" xfId="20801"/>
    <cellStyle name="40% - Accent3 2 3 7" xfId="3477"/>
    <cellStyle name="40% - Accent3 2 3 7 2" xfId="13583"/>
    <cellStyle name="40% - Accent3 2 3 7 2 2" xfId="27132"/>
    <cellStyle name="40% - Accent3 2 3 7 3" xfId="20802"/>
    <cellStyle name="40% - Accent3 2 3 8" xfId="3478"/>
    <cellStyle name="40% - Accent3 2 3 8 2" xfId="14164"/>
    <cellStyle name="40% - Accent3 2 3 8 2 2" xfId="27713"/>
    <cellStyle name="40% - Accent3 2 3 8 3" xfId="20803"/>
    <cellStyle name="40% - Accent3 2 3 9" xfId="3479"/>
    <cellStyle name="40% - Accent3 2 3 9 2" xfId="15195"/>
    <cellStyle name="40% - Accent3 2 3 9 2 2" xfId="28744"/>
    <cellStyle name="40% - Accent3 2 3 9 3" xfId="20804"/>
    <cellStyle name="40% - Accent3 2 4" xfId="3480"/>
    <cellStyle name="40% - Accent3 2 4 10" xfId="9318"/>
    <cellStyle name="40% - Accent3 2 4 10 2" xfId="23793"/>
    <cellStyle name="40% - Accent3 2 4 11" xfId="20805"/>
    <cellStyle name="40% - Accent3 2 4 2" xfId="3481"/>
    <cellStyle name="40% - Accent3 2 4 2 2" xfId="3482"/>
    <cellStyle name="40% - Accent3 2 4 2 2 2" xfId="11046"/>
    <cellStyle name="40% - Accent3 2 4 2 2 2 2" xfId="24988"/>
    <cellStyle name="40% - Accent3 2 4 2 2 3" xfId="20807"/>
    <cellStyle name="40% - Accent3 2 4 2 3" xfId="3483"/>
    <cellStyle name="40% - Accent3 2 4 2 3 2" xfId="12815"/>
    <cellStyle name="40% - Accent3 2 4 2 3 2 2" xfId="26527"/>
    <cellStyle name="40% - Accent3 2 4 2 3 3" xfId="20808"/>
    <cellStyle name="40% - Accent3 2 4 2 4" xfId="3484"/>
    <cellStyle name="40% - Accent3 2 4 2 4 2" xfId="15202"/>
    <cellStyle name="40% - Accent3 2 4 2 4 2 2" xfId="28751"/>
    <cellStyle name="40% - Accent3 2 4 2 4 3" xfId="20809"/>
    <cellStyle name="40% - Accent3 2 4 2 5" xfId="3485"/>
    <cellStyle name="40% - Accent3 2 4 2 5 2" xfId="16777"/>
    <cellStyle name="40% - Accent3 2 4 2 5 2 2" xfId="30184"/>
    <cellStyle name="40% - Accent3 2 4 2 5 3" xfId="20810"/>
    <cellStyle name="40% - Accent3 2 4 2 6" xfId="9319"/>
    <cellStyle name="40% - Accent3 2 4 2 6 2" xfId="23794"/>
    <cellStyle name="40% - Accent3 2 4 2 7" xfId="20806"/>
    <cellStyle name="40% - Accent3 2 4 3" xfId="3486"/>
    <cellStyle name="40% - Accent3 2 4 3 2" xfId="3487"/>
    <cellStyle name="40% - Accent3 2 4 3 2 2" xfId="15203"/>
    <cellStyle name="40% - Accent3 2 4 3 2 2 2" xfId="28752"/>
    <cellStyle name="40% - Accent3 2 4 3 2 3" xfId="20812"/>
    <cellStyle name="40% - Accent3 2 4 3 3" xfId="11045"/>
    <cellStyle name="40% - Accent3 2 4 3 3 2" xfId="24987"/>
    <cellStyle name="40% - Accent3 2 4 3 4" xfId="20811"/>
    <cellStyle name="40% - Accent3 2 4 4" xfId="3488"/>
    <cellStyle name="40% - Accent3 2 4 4 2" xfId="12165"/>
    <cellStyle name="40% - Accent3 2 4 4 2 2" xfId="25877"/>
    <cellStyle name="40% - Accent3 2 4 4 3" xfId="20813"/>
    <cellStyle name="40% - Accent3 2 4 5" xfId="3489"/>
    <cellStyle name="40% - Accent3 2 4 5 2" xfId="12814"/>
    <cellStyle name="40% - Accent3 2 4 5 2 2" xfId="26526"/>
    <cellStyle name="40% - Accent3 2 4 5 3" xfId="20814"/>
    <cellStyle name="40% - Accent3 2 4 6" xfId="3490"/>
    <cellStyle name="40% - Accent3 2 4 6 2" xfId="13729"/>
    <cellStyle name="40% - Accent3 2 4 6 2 2" xfId="27278"/>
    <cellStyle name="40% - Accent3 2 4 6 3" xfId="20815"/>
    <cellStyle name="40% - Accent3 2 4 7" xfId="3491"/>
    <cellStyle name="40% - Accent3 2 4 7 2" xfId="14310"/>
    <cellStyle name="40% - Accent3 2 4 7 2 2" xfId="27859"/>
    <cellStyle name="40% - Accent3 2 4 7 3" xfId="20816"/>
    <cellStyle name="40% - Accent3 2 4 8" xfId="3492"/>
    <cellStyle name="40% - Accent3 2 4 8 2" xfId="15201"/>
    <cellStyle name="40% - Accent3 2 4 8 2 2" xfId="28750"/>
    <cellStyle name="40% - Accent3 2 4 8 3" xfId="20817"/>
    <cellStyle name="40% - Accent3 2 4 9" xfId="3493"/>
    <cellStyle name="40% - Accent3 2 4 9 2" xfId="16196"/>
    <cellStyle name="40% - Accent3 2 4 9 2 2" xfId="29603"/>
    <cellStyle name="40% - Accent3 2 4 9 3" xfId="20818"/>
    <cellStyle name="40% - Accent3 2 5" xfId="3494"/>
    <cellStyle name="40% - Accent3 2 5 2" xfId="3495"/>
    <cellStyle name="40% - Accent3 2 5 2 2" xfId="3496"/>
    <cellStyle name="40% - Accent3 2 5 2 2 2" xfId="11048"/>
    <cellStyle name="40% - Accent3 2 5 2 2 2 2" xfId="24990"/>
    <cellStyle name="40% - Accent3 2 5 2 2 3" xfId="20821"/>
    <cellStyle name="40% - Accent3 2 5 2 3" xfId="3497"/>
    <cellStyle name="40% - Accent3 2 5 2 3 2" xfId="12817"/>
    <cellStyle name="40% - Accent3 2 5 2 3 2 2" xfId="26529"/>
    <cellStyle name="40% - Accent3 2 5 2 3 3" xfId="20822"/>
    <cellStyle name="40% - Accent3 2 5 2 4" xfId="3498"/>
    <cellStyle name="40% - Accent3 2 5 2 4 2" xfId="15205"/>
    <cellStyle name="40% - Accent3 2 5 2 4 2 2" xfId="28754"/>
    <cellStyle name="40% - Accent3 2 5 2 4 3" xfId="20823"/>
    <cellStyle name="40% - Accent3 2 5 2 5" xfId="9321"/>
    <cellStyle name="40% - Accent3 2 5 2 5 2" xfId="23796"/>
    <cellStyle name="40% - Accent3 2 5 2 6" xfId="20820"/>
    <cellStyle name="40% - Accent3 2 5 3" xfId="3499"/>
    <cellStyle name="40% - Accent3 2 5 3 2" xfId="11047"/>
    <cellStyle name="40% - Accent3 2 5 3 2 2" xfId="24989"/>
    <cellStyle name="40% - Accent3 2 5 3 3" xfId="20824"/>
    <cellStyle name="40% - Accent3 2 5 4" xfId="3500"/>
    <cellStyle name="40% - Accent3 2 5 4 2" xfId="12816"/>
    <cellStyle name="40% - Accent3 2 5 4 2 2" xfId="26528"/>
    <cellStyle name="40% - Accent3 2 5 4 3" xfId="20825"/>
    <cellStyle name="40% - Accent3 2 5 5" xfId="3501"/>
    <cellStyle name="40% - Accent3 2 5 5 2" xfId="15204"/>
    <cellStyle name="40% - Accent3 2 5 5 2 2" xfId="28753"/>
    <cellStyle name="40% - Accent3 2 5 5 3" xfId="20826"/>
    <cellStyle name="40% - Accent3 2 5 6" xfId="3502"/>
    <cellStyle name="40% - Accent3 2 5 6 2" xfId="17015"/>
    <cellStyle name="40% - Accent3 2 5 6 2 2" xfId="30422"/>
    <cellStyle name="40% - Accent3 2 5 6 3" xfId="20827"/>
    <cellStyle name="40% - Accent3 2 5 7" xfId="9320"/>
    <cellStyle name="40% - Accent3 2 5 7 2" xfId="23795"/>
    <cellStyle name="40% - Accent3 2 5 8" xfId="20819"/>
    <cellStyle name="40% - Accent3 2 6" xfId="3503"/>
    <cellStyle name="40% - Accent3 2 6 2" xfId="3504"/>
    <cellStyle name="40% - Accent3 2 6 2 2" xfId="11049"/>
    <cellStyle name="40% - Accent3 2 6 2 2 2" xfId="24991"/>
    <cellStyle name="40% - Accent3 2 6 2 3" xfId="20829"/>
    <cellStyle name="40% - Accent3 2 6 3" xfId="3505"/>
    <cellStyle name="40% - Accent3 2 6 3 2" xfId="12818"/>
    <cellStyle name="40% - Accent3 2 6 3 2 2" xfId="26530"/>
    <cellStyle name="40% - Accent3 2 6 3 3" xfId="20830"/>
    <cellStyle name="40% - Accent3 2 6 4" xfId="3506"/>
    <cellStyle name="40% - Accent3 2 6 4 2" xfId="15206"/>
    <cellStyle name="40% - Accent3 2 6 4 2 2" xfId="28755"/>
    <cellStyle name="40% - Accent3 2 6 4 3" xfId="20831"/>
    <cellStyle name="40% - Accent3 2 6 5" xfId="3507"/>
    <cellStyle name="40% - Accent3 2 6 5 2" xfId="17124"/>
    <cellStyle name="40% - Accent3 2 6 5 2 2" xfId="30483"/>
    <cellStyle name="40% - Accent3 2 6 5 3" xfId="20832"/>
    <cellStyle name="40% - Accent3 2 6 6" xfId="9322"/>
    <cellStyle name="40% - Accent3 2 6 6 2" xfId="23797"/>
    <cellStyle name="40% - Accent3 2 6 7" xfId="20828"/>
    <cellStyle name="40% - Accent3 2 7" xfId="3508"/>
    <cellStyle name="40% - Accent3 2 7 2" xfId="3509"/>
    <cellStyle name="40% - Accent3 2 7 2 2" xfId="11050"/>
    <cellStyle name="40% - Accent3 2 7 2 2 2" xfId="24992"/>
    <cellStyle name="40% - Accent3 2 7 2 3" xfId="20834"/>
    <cellStyle name="40% - Accent3 2 7 3" xfId="3510"/>
    <cellStyle name="40% - Accent3 2 7 3 2" xfId="12819"/>
    <cellStyle name="40% - Accent3 2 7 3 2 2" xfId="26531"/>
    <cellStyle name="40% - Accent3 2 7 3 3" xfId="20835"/>
    <cellStyle name="40% - Accent3 2 7 4" xfId="3511"/>
    <cellStyle name="40% - Accent3 2 7 4 2" xfId="15207"/>
    <cellStyle name="40% - Accent3 2 7 4 2 2" xfId="28756"/>
    <cellStyle name="40% - Accent3 2 7 4 3" xfId="20836"/>
    <cellStyle name="40% - Accent3 2 7 5" xfId="3512"/>
    <cellStyle name="40% - Accent3 2 7 5 2" xfId="17213"/>
    <cellStyle name="40% - Accent3 2 7 5 2 2" xfId="30572"/>
    <cellStyle name="40% - Accent3 2 7 5 3" xfId="20837"/>
    <cellStyle name="40% - Accent3 2 7 6" xfId="9323"/>
    <cellStyle name="40% - Accent3 2 7 6 2" xfId="23798"/>
    <cellStyle name="40% - Accent3 2 7 7" xfId="20833"/>
    <cellStyle name="40% - Accent3 2 8" xfId="3513"/>
    <cellStyle name="40% - Accent3 2 8 2" xfId="3514"/>
    <cellStyle name="40% - Accent3 2 8 2 2" xfId="12820"/>
    <cellStyle name="40% - Accent3 2 8 2 2 2" xfId="26532"/>
    <cellStyle name="40% - Accent3 2 8 2 3" xfId="20839"/>
    <cellStyle name="40% - Accent3 2 8 3" xfId="3515"/>
    <cellStyle name="40% - Accent3 2 8 3 2" xfId="15208"/>
    <cellStyle name="40% - Accent3 2 8 3 2 2" xfId="28757"/>
    <cellStyle name="40% - Accent3 2 8 3 3" xfId="20840"/>
    <cellStyle name="40% - Accent3 2 8 4" xfId="3516"/>
    <cellStyle name="40% - Accent3 2 8 4 2" xfId="16488"/>
    <cellStyle name="40% - Accent3 2 8 4 2 2" xfId="29895"/>
    <cellStyle name="40% - Accent3 2 8 4 3" xfId="20841"/>
    <cellStyle name="40% - Accent3 2 8 5" xfId="10536"/>
    <cellStyle name="40% - Accent3 2 8 5 2" xfId="24478"/>
    <cellStyle name="40% - Accent3 2 8 6" xfId="20838"/>
    <cellStyle name="40% - Accent3 2 9" xfId="3517"/>
    <cellStyle name="40% - Accent3 2 9 2" xfId="3518"/>
    <cellStyle name="40% - Accent3 2 9 2 2" xfId="12821"/>
    <cellStyle name="40% - Accent3 2 9 2 2 2" xfId="26533"/>
    <cellStyle name="40% - Accent3 2 9 2 3" xfId="20843"/>
    <cellStyle name="40% - Accent3 2 9 3" xfId="3519"/>
    <cellStyle name="40% - Accent3 2 9 3 2" xfId="15209"/>
    <cellStyle name="40% - Accent3 2 9 3 2 2" xfId="28758"/>
    <cellStyle name="40% - Accent3 2 9 3 3" xfId="20844"/>
    <cellStyle name="40% - Accent3 2 9 4" xfId="11032"/>
    <cellStyle name="40% - Accent3 2 9 4 2" xfId="24974"/>
    <cellStyle name="40% - Accent3 2 9 5" xfId="20842"/>
    <cellStyle name="40% - Accent3 20" xfId="3520"/>
    <cellStyle name="40% - Accent3 20 2" xfId="3521"/>
    <cellStyle name="40% - Accent3 20 2 2" xfId="12822"/>
    <cellStyle name="40% - Accent3 20 2 2 2" xfId="26534"/>
    <cellStyle name="40% - Accent3 20 2 3" xfId="20846"/>
    <cellStyle name="40% - Accent3 20 3" xfId="3522"/>
    <cellStyle name="40% - Accent3 20 3 2" xfId="15210"/>
    <cellStyle name="40% - Accent3 20 3 2 2" xfId="28759"/>
    <cellStyle name="40% - Accent3 20 3 3" xfId="20847"/>
    <cellStyle name="40% - Accent3 20 4" xfId="10511"/>
    <cellStyle name="40% - Accent3 20 4 2" xfId="24459"/>
    <cellStyle name="40% - Accent3 20 5" xfId="20845"/>
    <cellStyle name="40% - Accent3 21" xfId="3523"/>
    <cellStyle name="40% - Accent3 21 2" xfId="3524"/>
    <cellStyle name="40% - Accent3 21 2 2" xfId="12823"/>
    <cellStyle name="40% - Accent3 21 2 2 2" xfId="26535"/>
    <cellStyle name="40% - Accent3 21 2 3" xfId="20849"/>
    <cellStyle name="40% - Accent3 21 3" xfId="3525"/>
    <cellStyle name="40% - Accent3 21 3 2" xfId="15211"/>
    <cellStyle name="40% - Accent3 21 3 2 2" xfId="28760"/>
    <cellStyle name="40% - Accent3 21 3 3" xfId="20850"/>
    <cellStyle name="40% - Accent3 21 4" xfId="11021"/>
    <cellStyle name="40% - Accent3 21 4 2" xfId="24963"/>
    <cellStyle name="40% - Accent3 21 5" xfId="20848"/>
    <cellStyle name="40% - Accent3 22" xfId="3526"/>
    <cellStyle name="40% - Accent3 22 2" xfId="11747"/>
    <cellStyle name="40% - Accent3 22 2 2" xfId="25462"/>
    <cellStyle name="40% - Accent3 22 3" xfId="20851"/>
    <cellStyle name="40% - Accent3 23" xfId="3527"/>
    <cellStyle name="40% - Accent3 23 2" xfId="12494"/>
    <cellStyle name="40% - Accent3 23 2 2" xfId="26206"/>
    <cellStyle name="40% - Accent3 23 3" xfId="20852"/>
    <cellStyle name="40% - Accent3 24" xfId="3528"/>
    <cellStyle name="40% - Accent3 24 2" xfId="13386"/>
    <cellStyle name="40% - Accent3 24 2 2" xfId="26935"/>
    <cellStyle name="40% - Accent3 24 3" xfId="20853"/>
    <cellStyle name="40% - Accent3 25" xfId="3529"/>
    <cellStyle name="40% - Accent3 25 2" xfId="13967"/>
    <cellStyle name="40% - Accent3 25 2 2" xfId="27516"/>
    <cellStyle name="40% - Accent3 25 3" xfId="20854"/>
    <cellStyle name="40% - Accent3 26" xfId="3530"/>
    <cellStyle name="40% - Accent3 26 2" xfId="15168"/>
    <cellStyle name="40% - Accent3 26 2 2" xfId="28717"/>
    <cellStyle name="40% - Accent3 26 3" xfId="20855"/>
    <cellStyle name="40% - Accent3 27" xfId="3531"/>
    <cellStyle name="40% - Accent3 27 2" xfId="15833"/>
    <cellStyle name="40% - Accent3 27 2 2" xfId="29240"/>
    <cellStyle name="40% - Accent3 27 3" xfId="20856"/>
    <cellStyle name="40% - Accent3 28" xfId="3532"/>
    <cellStyle name="40% - Accent3 28 2" xfId="15853"/>
    <cellStyle name="40% - Accent3 28 2 2" xfId="29260"/>
    <cellStyle name="40% - Accent3 28 3" xfId="20857"/>
    <cellStyle name="40% - Accent3 29" xfId="3533"/>
    <cellStyle name="40% - Accent3 29 2" xfId="9294"/>
    <cellStyle name="40% - Accent3 29 2 2" xfId="23769"/>
    <cellStyle name="40% - Accent3 29 3" xfId="20858"/>
    <cellStyle name="40% - Accent3 3" xfId="3534"/>
    <cellStyle name="40% - Accent3 3 10" xfId="3535"/>
    <cellStyle name="40% - Accent3 3 10 2" xfId="14044"/>
    <cellStyle name="40% - Accent3 3 10 2 2" xfId="27593"/>
    <cellStyle name="40% - Accent3 3 10 3" xfId="20860"/>
    <cellStyle name="40% - Accent3 3 11" xfId="3536"/>
    <cellStyle name="40% - Accent3 3 11 2" xfId="15212"/>
    <cellStyle name="40% - Accent3 3 11 2 2" xfId="28761"/>
    <cellStyle name="40% - Accent3 3 11 3" xfId="20861"/>
    <cellStyle name="40% - Accent3 3 12" xfId="3537"/>
    <cellStyle name="40% - Accent3 3 12 2" xfId="15930"/>
    <cellStyle name="40% - Accent3 3 12 2 2" xfId="29337"/>
    <cellStyle name="40% - Accent3 3 12 3" xfId="20862"/>
    <cellStyle name="40% - Accent3 3 13" xfId="9324"/>
    <cellStyle name="40% - Accent3 3 13 2" xfId="23799"/>
    <cellStyle name="40% - Accent3 3 14" xfId="20859"/>
    <cellStyle name="40% - Accent3 3 2" xfId="3538"/>
    <cellStyle name="40% - Accent3 3 2 10" xfId="3539"/>
    <cellStyle name="40% - Accent3 3 2 10 2" xfId="16073"/>
    <cellStyle name="40% - Accent3 3 2 10 2 2" xfId="29480"/>
    <cellStyle name="40% - Accent3 3 2 10 3" xfId="20864"/>
    <cellStyle name="40% - Accent3 3 2 11" xfId="9325"/>
    <cellStyle name="40% - Accent3 3 2 11 2" xfId="23800"/>
    <cellStyle name="40% - Accent3 3 2 12" xfId="20863"/>
    <cellStyle name="40% - Accent3 3 2 2" xfId="3540"/>
    <cellStyle name="40% - Accent3 3 2 2 10" xfId="9326"/>
    <cellStyle name="40% - Accent3 3 2 2 10 2" xfId="23801"/>
    <cellStyle name="40% - Accent3 3 2 2 11" xfId="20865"/>
    <cellStyle name="40% - Accent3 3 2 2 2" xfId="3541"/>
    <cellStyle name="40% - Accent3 3 2 2 2 2" xfId="3542"/>
    <cellStyle name="40% - Accent3 3 2 2 2 2 2" xfId="11054"/>
    <cellStyle name="40% - Accent3 3 2 2 2 2 2 2" xfId="24996"/>
    <cellStyle name="40% - Accent3 3 2 2 2 2 3" xfId="20867"/>
    <cellStyle name="40% - Accent3 3 2 2 2 3" xfId="3543"/>
    <cellStyle name="40% - Accent3 3 2 2 2 3 2" xfId="12827"/>
    <cellStyle name="40% - Accent3 3 2 2 2 3 2 2" xfId="26539"/>
    <cellStyle name="40% - Accent3 3 2 2 2 3 3" xfId="20868"/>
    <cellStyle name="40% - Accent3 3 2 2 2 4" xfId="3544"/>
    <cellStyle name="40% - Accent3 3 2 2 2 4 2" xfId="15215"/>
    <cellStyle name="40% - Accent3 3 2 2 2 4 2 2" xfId="28764"/>
    <cellStyle name="40% - Accent3 3 2 2 2 4 3" xfId="20869"/>
    <cellStyle name="40% - Accent3 3 2 2 2 5" xfId="3545"/>
    <cellStyle name="40% - Accent3 3 2 2 2 5 2" xfId="16943"/>
    <cellStyle name="40% - Accent3 3 2 2 2 5 2 2" xfId="30350"/>
    <cellStyle name="40% - Accent3 3 2 2 2 5 3" xfId="20870"/>
    <cellStyle name="40% - Accent3 3 2 2 2 6" xfId="9327"/>
    <cellStyle name="40% - Accent3 3 2 2 2 6 2" xfId="23802"/>
    <cellStyle name="40% - Accent3 3 2 2 2 7" xfId="20866"/>
    <cellStyle name="40% - Accent3 3 2 2 3" xfId="3546"/>
    <cellStyle name="40% - Accent3 3 2 2 3 2" xfId="3547"/>
    <cellStyle name="40% - Accent3 3 2 2 3 2 2" xfId="15216"/>
    <cellStyle name="40% - Accent3 3 2 2 3 2 2 2" xfId="28765"/>
    <cellStyle name="40% - Accent3 3 2 2 3 2 3" xfId="20872"/>
    <cellStyle name="40% - Accent3 3 2 2 3 3" xfId="11053"/>
    <cellStyle name="40% - Accent3 3 2 2 3 3 2" xfId="24995"/>
    <cellStyle name="40% - Accent3 3 2 2 3 4" xfId="20871"/>
    <cellStyle name="40% - Accent3 3 2 2 4" xfId="3548"/>
    <cellStyle name="40% - Accent3 3 2 2 4 2" xfId="12331"/>
    <cellStyle name="40% - Accent3 3 2 2 4 2 2" xfId="26043"/>
    <cellStyle name="40% - Accent3 3 2 2 4 3" xfId="20873"/>
    <cellStyle name="40% - Accent3 3 2 2 5" xfId="3549"/>
    <cellStyle name="40% - Accent3 3 2 2 5 2" xfId="12826"/>
    <cellStyle name="40% - Accent3 3 2 2 5 2 2" xfId="26538"/>
    <cellStyle name="40% - Accent3 3 2 2 5 3" xfId="20874"/>
    <cellStyle name="40% - Accent3 3 2 2 6" xfId="3550"/>
    <cellStyle name="40% - Accent3 3 2 2 6 2" xfId="13895"/>
    <cellStyle name="40% - Accent3 3 2 2 6 2 2" xfId="27444"/>
    <cellStyle name="40% - Accent3 3 2 2 6 3" xfId="20875"/>
    <cellStyle name="40% - Accent3 3 2 2 7" xfId="3551"/>
    <cellStyle name="40% - Accent3 3 2 2 7 2" xfId="14476"/>
    <cellStyle name="40% - Accent3 3 2 2 7 2 2" xfId="28025"/>
    <cellStyle name="40% - Accent3 3 2 2 7 3" xfId="20876"/>
    <cellStyle name="40% - Accent3 3 2 2 8" xfId="3552"/>
    <cellStyle name="40% - Accent3 3 2 2 8 2" xfId="15214"/>
    <cellStyle name="40% - Accent3 3 2 2 8 2 2" xfId="28763"/>
    <cellStyle name="40% - Accent3 3 2 2 8 3" xfId="20877"/>
    <cellStyle name="40% - Accent3 3 2 2 9" xfId="3553"/>
    <cellStyle name="40% - Accent3 3 2 2 9 2" xfId="16362"/>
    <cellStyle name="40% - Accent3 3 2 2 9 2 2" xfId="29769"/>
    <cellStyle name="40% - Accent3 3 2 2 9 3" xfId="20878"/>
    <cellStyle name="40% - Accent3 3 2 3" xfId="3554"/>
    <cellStyle name="40% - Accent3 3 2 3 2" xfId="3555"/>
    <cellStyle name="40% - Accent3 3 2 3 2 2" xfId="11055"/>
    <cellStyle name="40% - Accent3 3 2 3 2 2 2" xfId="24997"/>
    <cellStyle name="40% - Accent3 3 2 3 2 3" xfId="20880"/>
    <cellStyle name="40% - Accent3 3 2 3 3" xfId="3556"/>
    <cellStyle name="40% - Accent3 3 2 3 3 2" xfId="12828"/>
    <cellStyle name="40% - Accent3 3 2 3 3 2 2" xfId="26540"/>
    <cellStyle name="40% - Accent3 3 2 3 3 3" xfId="20881"/>
    <cellStyle name="40% - Accent3 3 2 3 4" xfId="3557"/>
    <cellStyle name="40% - Accent3 3 2 3 4 2" xfId="15217"/>
    <cellStyle name="40% - Accent3 3 2 3 4 2 2" xfId="28766"/>
    <cellStyle name="40% - Accent3 3 2 3 4 3" xfId="20882"/>
    <cellStyle name="40% - Accent3 3 2 3 5" xfId="3558"/>
    <cellStyle name="40% - Accent3 3 2 3 5 2" xfId="16654"/>
    <cellStyle name="40% - Accent3 3 2 3 5 2 2" xfId="30061"/>
    <cellStyle name="40% - Accent3 3 2 3 5 3" xfId="20883"/>
    <cellStyle name="40% - Accent3 3 2 3 6" xfId="9328"/>
    <cellStyle name="40% - Accent3 3 2 3 6 2" xfId="23803"/>
    <cellStyle name="40% - Accent3 3 2 3 7" xfId="20879"/>
    <cellStyle name="40% - Accent3 3 2 4" xfId="3559"/>
    <cellStyle name="40% - Accent3 3 2 4 2" xfId="3560"/>
    <cellStyle name="40% - Accent3 3 2 4 2 2" xfId="15218"/>
    <cellStyle name="40% - Accent3 3 2 4 2 2 2" xfId="28767"/>
    <cellStyle name="40% - Accent3 3 2 4 2 3" xfId="20885"/>
    <cellStyle name="40% - Accent3 3 2 4 3" xfId="11052"/>
    <cellStyle name="40% - Accent3 3 2 4 3 2" xfId="24994"/>
    <cellStyle name="40% - Accent3 3 2 4 4" xfId="20884"/>
    <cellStyle name="40% - Accent3 3 2 5" xfId="3561"/>
    <cellStyle name="40% - Accent3 3 2 5 2" xfId="12031"/>
    <cellStyle name="40% - Accent3 3 2 5 2 2" xfId="25746"/>
    <cellStyle name="40% - Accent3 3 2 5 3" xfId="20886"/>
    <cellStyle name="40% - Accent3 3 2 6" xfId="3562"/>
    <cellStyle name="40% - Accent3 3 2 6 2" xfId="12825"/>
    <cellStyle name="40% - Accent3 3 2 6 2 2" xfId="26537"/>
    <cellStyle name="40% - Accent3 3 2 6 3" xfId="20887"/>
    <cellStyle name="40% - Accent3 3 2 7" xfId="3563"/>
    <cellStyle name="40% - Accent3 3 2 7 2" xfId="13606"/>
    <cellStyle name="40% - Accent3 3 2 7 2 2" xfId="27155"/>
    <cellStyle name="40% - Accent3 3 2 7 3" xfId="20888"/>
    <cellStyle name="40% - Accent3 3 2 8" xfId="3564"/>
    <cellStyle name="40% - Accent3 3 2 8 2" xfId="14187"/>
    <cellStyle name="40% - Accent3 3 2 8 2 2" xfId="27736"/>
    <cellStyle name="40% - Accent3 3 2 8 3" xfId="20889"/>
    <cellStyle name="40% - Accent3 3 2 9" xfId="3565"/>
    <cellStyle name="40% - Accent3 3 2 9 2" xfId="15213"/>
    <cellStyle name="40% - Accent3 3 2 9 2 2" xfId="28762"/>
    <cellStyle name="40% - Accent3 3 2 9 3" xfId="20890"/>
    <cellStyle name="40% - Accent3 3 3" xfId="3566"/>
    <cellStyle name="40% - Accent3 3 3 10" xfId="9329"/>
    <cellStyle name="40% - Accent3 3 3 10 2" xfId="23804"/>
    <cellStyle name="40% - Accent3 3 3 11" xfId="20891"/>
    <cellStyle name="40% - Accent3 3 3 2" xfId="3567"/>
    <cellStyle name="40% - Accent3 3 3 2 2" xfId="3568"/>
    <cellStyle name="40% - Accent3 3 3 2 2 2" xfId="11057"/>
    <cellStyle name="40% - Accent3 3 3 2 2 2 2" xfId="24999"/>
    <cellStyle name="40% - Accent3 3 3 2 2 3" xfId="20893"/>
    <cellStyle name="40% - Accent3 3 3 2 3" xfId="3569"/>
    <cellStyle name="40% - Accent3 3 3 2 3 2" xfId="12830"/>
    <cellStyle name="40% - Accent3 3 3 2 3 2 2" xfId="26542"/>
    <cellStyle name="40% - Accent3 3 3 2 3 3" xfId="20894"/>
    <cellStyle name="40% - Accent3 3 3 2 4" xfId="3570"/>
    <cellStyle name="40% - Accent3 3 3 2 4 2" xfId="15220"/>
    <cellStyle name="40% - Accent3 3 3 2 4 2 2" xfId="28769"/>
    <cellStyle name="40% - Accent3 3 3 2 4 3" xfId="20895"/>
    <cellStyle name="40% - Accent3 3 3 2 5" xfId="3571"/>
    <cellStyle name="40% - Accent3 3 3 2 5 2" xfId="16800"/>
    <cellStyle name="40% - Accent3 3 3 2 5 2 2" xfId="30207"/>
    <cellStyle name="40% - Accent3 3 3 2 5 3" xfId="20896"/>
    <cellStyle name="40% - Accent3 3 3 2 6" xfId="9330"/>
    <cellStyle name="40% - Accent3 3 3 2 6 2" xfId="23805"/>
    <cellStyle name="40% - Accent3 3 3 2 7" xfId="20892"/>
    <cellStyle name="40% - Accent3 3 3 3" xfId="3572"/>
    <cellStyle name="40% - Accent3 3 3 3 2" xfId="3573"/>
    <cellStyle name="40% - Accent3 3 3 3 2 2" xfId="15221"/>
    <cellStyle name="40% - Accent3 3 3 3 2 2 2" xfId="28770"/>
    <cellStyle name="40% - Accent3 3 3 3 2 3" xfId="20898"/>
    <cellStyle name="40% - Accent3 3 3 3 3" xfId="11056"/>
    <cellStyle name="40% - Accent3 3 3 3 3 2" xfId="24998"/>
    <cellStyle name="40% - Accent3 3 3 3 4" xfId="20897"/>
    <cellStyle name="40% - Accent3 3 3 4" xfId="3574"/>
    <cellStyle name="40% - Accent3 3 3 4 2" xfId="12188"/>
    <cellStyle name="40% - Accent3 3 3 4 2 2" xfId="25900"/>
    <cellStyle name="40% - Accent3 3 3 4 3" xfId="20899"/>
    <cellStyle name="40% - Accent3 3 3 5" xfId="3575"/>
    <cellStyle name="40% - Accent3 3 3 5 2" xfId="12829"/>
    <cellStyle name="40% - Accent3 3 3 5 2 2" xfId="26541"/>
    <cellStyle name="40% - Accent3 3 3 5 3" xfId="20900"/>
    <cellStyle name="40% - Accent3 3 3 6" xfId="3576"/>
    <cellStyle name="40% - Accent3 3 3 6 2" xfId="13752"/>
    <cellStyle name="40% - Accent3 3 3 6 2 2" xfId="27301"/>
    <cellStyle name="40% - Accent3 3 3 6 3" xfId="20901"/>
    <cellStyle name="40% - Accent3 3 3 7" xfId="3577"/>
    <cellStyle name="40% - Accent3 3 3 7 2" xfId="14333"/>
    <cellStyle name="40% - Accent3 3 3 7 2 2" xfId="27882"/>
    <cellStyle name="40% - Accent3 3 3 7 3" xfId="20902"/>
    <cellStyle name="40% - Accent3 3 3 8" xfId="3578"/>
    <cellStyle name="40% - Accent3 3 3 8 2" xfId="15219"/>
    <cellStyle name="40% - Accent3 3 3 8 2 2" xfId="28768"/>
    <cellStyle name="40% - Accent3 3 3 8 3" xfId="20903"/>
    <cellStyle name="40% - Accent3 3 3 9" xfId="3579"/>
    <cellStyle name="40% - Accent3 3 3 9 2" xfId="16219"/>
    <cellStyle name="40% - Accent3 3 3 9 2 2" xfId="29626"/>
    <cellStyle name="40% - Accent3 3 3 9 3" xfId="20904"/>
    <cellStyle name="40% - Accent3 3 4" xfId="3580"/>
    <cellStyle name="40% - Accent3 3 4 2" xfId="3581"/>
    <cellStyle name="40% - Accent3 3 4 2 2" xfId="11058"/>
    <cellStyle name="40% - Accent3 3 4 2 2 2" xfId="25000"/>
    <cellStyle name="40% - Accent3 3 4 2 3" xfId="20906"/>
    <cellStyle name="40% - Accent3 3 4 3" xfId="3582"/>
    <cellStyle name="40% - Accent3 3 4 3 2" xfId="12831"/>
    <cellStyle name="40% - Accent3 3 4 3 2 2" xfId="26543"/>
    <cellStyle name="40% - Accent3 3 4 3 3" xfId="20907"/>
    <cellStyle name="40% - Accent3 3 4 4" xfId="3583"/>
    <cellStyle name="40% - Accent3 3 4 4 2" xfId="15222"/>
    <cellStyle name="40% - Accent3 3 4 4 2 2" xfId="28771"/>
    <cellStyle name="40% - Accent3 3 4 4 3" xfId="20908"/>
    <cellStyle name="40% - Accent3 3 4 5" xfId="3584"/>
    <cellStyle name="40% - Accent3 3 4 5 2" xfId="17147"/>
    <cellStyle name="40% - Accent3 3 4 5 2 2" xfId="30506"/>
    <cellStyle name="40% - Accent3 3 4 5 3" xfId="20909"/>
    <cellStyle name="40% - Accent3 3 4 6" xfId="9331"/>
    <cellStyle name="40% - Accent3 3 4 6 2" xfId="23806"/>
    <cellStyle name="40% - Accent3 3 4 7" xfId="20905"/>
    <cellStyle name="40% - Accent3 3 5" xfId="3585"/>
    <cellStyle name="40% - Accent3 3 5 2" xfId="3586"/>
    <cellStyle name="40% - Accent3 3 5 2 2" xfId="11059"/>
    <cellStyle name="40% - Accent3 3 5 2 2 2" xfId="25001"/>
    <cellStyle name="40% - Accent3 3 5 2 3" xfId="20911"/>
    <cellStyle name="40% - Accent3 3 5 3" xfId="3587"/>
    <cellStyle name="40% - Accent3 3 5 3 2" xfId="12832"/>
    <cellStyle name="40% - Accent3 3 5 3 2 2" xfId="26544"/>
    <cellStyle name="40% - Accent3 3 5 3 3" xfId="20912"/>
    <cellStyle name="40% - Accent3 3 5 4" xfId="3588"/>
    <cellStyle name="40% - Accent3 3 5 4 2" xfId="15223"/>
    <cellStyle name="40% - Accent3 3 5 4 2 2" xfId="28772"/>
    <cellStyle name="40% - Accent3 3 5 4 3" xfId="20913"/>
    <cellStyle name="40% - Accent3 3 5 5" xfId="3589"/>
    <cellStyle name="40% - Accent3 3 5 5 2" xfId="17236"/>
    <cellStyle name="40% - Accent3 3 5 5 2 2" xfId="30595"/>
    <cellStyle name="40% - Accent3 3 5 5 3" xfId="20914"/>
    <cellStyle name="40% - Accent3 3 5 6" xfId="9332"/>
    <cellStyle name="40% - Accent3 3 5 6 2" xfId="23807"/>
    <cellStyle name="40% - Accent3 3 5 7" xfId="20910"/>
    <cellStyle name="40% - Accent3 3 6" xfId="3590"/>
    <cellStyle name="40% - Accent3 3 6 2" xfId="3591"/>
    <cellStyle name="40% - Accent3 3 6 2 2" xfId="15224"/>
    <cellStyle name="40% - Accent3 3 6 2 2 2" xfId="28773"/>
    <cellStyle name="40% - Accent3 3 6 2 3" xfId="20916"/>
    <cellStyle name="40% - Accent3 3 6 3" xfId="3592"/>
    <cellStyle name="40% - Accent3 3 6 3 2" xfId="16511"/>
    <cellStyle name="40% - Accent3 3 6 3 2 2" xfId="29918"/>
    <cellStyle name="40% - Accent3 3 6 3 3" xfId="20917"/>
    <cellStyle name="40% - Accent3 3 6 4" xfId="11051"/>
    <cellStyle name="40% - Accent3 3 6 4 2" xfId="24993"/>
    <cellStyle name="40% - Accent3 3 6 5" xfId="20915"/>
    <cellStyle name="40% - Accent3 3 7" xfId="3593"/>
    <cellStyle name="40% - Accent3 3 7 2" xfId="11883"/>
    <cellStyle name="40% - Accent3 3 7 2 2" xfId="25598"/>
    <cellStyle name="40% - Accent3 3 7 3" xfId="20918"/>
    <cellStyle name="40% - Accent3 3 8" xfId="3594"/>
    <cellStyle name="40% - Accent3 3 8 2" xfId="12824"/>
    <cellStyle name="40% - Accent3 3 8 2 2" xfId="26536"/>
    <cellStyle name="40% - Accent3 3 8 3" xfId="20919"/>
    <cellStyle name="40% - Accent3 3 9" xfId="3595"/>
    <cellStyle name="40% - Accent3 3 9 2" xfId="13463"/>
    <cellStyle name="40% - Accent3 3 9 2 2" xfId="27012"/>
    <cellStyle name="40% - Accent3 3 9 3" xfId="20920"/>
    <cellStyle name="40% - Accent3 30" xfId="23254"/>
    <cellStyle name="40% - Accent3 4" xfId="3596"/>
    <cellStyle name="40% - Accent3 4 10" xfId="3597"/>
    <cellStyle name="40% - Accent3 4 10 2" xfId="15225"/>
    <cellStyle name="40% - Accent3 4 10 2 2" xfId="28774"/>
    <cellStyle name="40% - Accent3 4 10 3" xfId="20922"/>
    <cellStyle name="40% - Accent3 4 11" xfId="3598"/>
    <cellStyle name="40% - Accent3 4 11 2" xfId="15887"/>
    <cellStyle name="40% - Accent3 4 11 2 2" xfId="29294"/>
    <cellStyle name="40% - Accent3 4 11 3" xfId="20923"/>
    <cellStyle name="40% - Accent3 4 12" xfId="9333"/>
    <cellStyle name="40% - Accent3 4 12 2" xfId="23808"/>
    <cellStyle name="40% - Accent3 4 13" xfId="20921"/>
    <cellStyle name="40% - Accent3 4 2" xfId="3599"/>
    <cellStyle name="40% - Accent3 4 2 10" xfId="3600"/>
    <cellStyle name="40% - Accent3 4 2 10 2" xfId="16030"/>
    <cellStyle name="40% - Accent3 4 2 10 2 2" xfId="29437"/>
    <cellStyle name="40% - Accent3 4 2 10 3" xfId="20925"/>
    <cellStyle name="40% - Accent3 4 2 11" xfId="9334"/>
    <cellStyle name="40% - Accent3 4 2 11 2" xfId="23809"/>
    <cellStyle name="40% - Accent3 4 2 12" xfId="20924"/>
    <cellStyle name="40% - Accent3 4 2 2" xfId="3601"/>
    <cellStyle name="40% - Accent3 4 2 2 10" xfId="9335"/>
    <cellStyle name="40% - Accent3 4 2 2 10 2" xfId="23810"/>
    <cellStyle name="40% - Accent3 4 2 2 11" xfId="20926"/>
    <cellStyle name="40% - Accent3 4 2 2 2" xfId="3602"/>
    <cellStyle name="40% - Accent3 4 2 2 2 2" xfId="3603"/>
    <cellStyle name="40% - Accent3 4 2 2 2 2 2" xfId="11063"/>
    <cellStyle name="40% - Accent3 4 2 2 2 2 2 2" xfId="25005"/>
    <cellStyle name="40% - Accent3 4 2 2 2 2 3" xfId="20928"/>
    <cellStyle name="40% - Accent3 4 2 2 2 3" xfId="3604"/>
    <cellStyle name="40% - Accent3 4 2 2 2 3 2" xfId="12836"/>
    <cellStyle name="40% - Accent3 4 2 2 2 3 2 2" xfId="26548"/>
    <cellStyle name="40% - Accent3 4 2 2 2 3 3" xfId="20929"/>
    <cellStyle name="40% - Accent3 4 2 2 2 4" xfId="3605"/>
    <cellStyle name="40% - Accent3 4 2 2 2 4 2" xfId="15228"/>
    <cellStyle name="40% - Accent3 4 2 2 2 4 2 2" xfId="28777"/>
    <cellStyle name="40% - Accent3 4 2 2 2 4 3" xfId="20930"/>
    <cellStyle name="40% - Accent3 4 2 2 2 5" xfId="3606"/>
    <cellStyle name="40% - Accent3 4 2 2 2 5 2" xfId="16900"/>
    <cellStyle name="40% - Accent3 4 2 2 2 5 2 2" xfId="30307"/>
    <cellStyle name="40% - Accent3 4 2 2 2 5 3" xfId="20931"/>
    <cellStyle name="40% - Accent3 4 2 2 2 6" xfId="9336"/>
    <cellStyle name="40% - Accent3 4 2 2 2 6 2" xfId="23811"/>
    <cellStyle name="40% - Accent3 4 2 2 2 7" xfId="20927"/>
    <cellStyle name="40% - Accent3 4 2 2 3" xfId="3607"/>
    <cellStyle name="40% - Accent3 4 2 2 3 2" xfId="3608"/>
    <cellStyle name="40% - Accent3 4 2 2 3 2 2" xfId="15229"/>
    <cellStyle name="40% - Accent3 4 2 2 3 2 2 2" xfId="28778"/>
    <cellStyle name="40% - Accent3 4 2 2 3 2 3" xfId="20933"/>
    <cellStyle name="40% - Accent3 4 2 2 3 3" xfId="11062"/>
    <cellStyle name="40% - Accent3 4 2 2 3 3 2" xfId="25004"/>
    <cellStyle name="40% - Accent3 4 2 2 3 4" xfId="20932"/>
    <cellStyle name="40% - Accent3 4 2 2 4" xfId="3609"/>
    <cellStyle name="40% - Accent3 4 2 2 4 2" xfId="12288"/>
    <cellStyle name="40% - Accent3 4 2 2 4 2 2" xfId="26000"/>
    <cellStyle name="40% - Accent3 4 2 2 4 3" xfId="20934"/>
    <cellStyle name="40% - Accent3 4 2 2 5" xfId="3610"/>
    <cellStyle name="40% - Accent3 4 2 2 5 2" xfId="12835"/>
    <cellStyle name="40% - Accent3 4 2 2 5 2 2" xfId="26547"/>
    <cellStyle name="40% - Accent3 4 2 2 5 3" xfId="20935"/>
    <cellStyle name="40% - Accent3 4 2 2 6" xfId="3611"/>
    <cellStyle name="40% - Accent3 4 2 2 6 2" xfId="13852"/>
    <cellStyle name="40% - Accent3 4 2 2 6 2 2" xfId="27401"/>
    <cellStyle name="40% - Accent3 4 2 2 6 3" xfId="20936"/>
    <cellStyle name="40% - Accent3 4 2 2 7" xfId="3612"/>
    <cellStyle name="40% - Accent3 4 2 2 7 2" xfId="14433"/>
    <cellStyle name="40% - Accent3 4 2 2 7 2 2" xfId="27982"/>
    <cellStyle name="40% - Accent3 4 2 2 7 3" xfId="20937"/>
    <cellStyle name="40% - Accent3 4 2 2 8" xfId="3613"/>
    <cellStyle name="40% - Accent3 4 2 2 8 2" xfId="15227"/>
    <cellStyle name="40% - Accent3 4 2 2 8 2 2" xfId="28776"/>
    <cellStyle name="40% - Accent3 4 2 2 8 3" xfId="20938"/>
    <cellStyle name="40% - Accent3 4 2 2 9" xfId="3614"/>
    <cellStyle name="40% - Accent3 4 2 2 9 2" xfId="16319"/>
    <cellStyle name="40% - Accent3 4 2 2 9 2 2" xfId="29726"/>
    <cellStyle name="40% - Accent3 4 2 2 9 3" xfId="20939"/>
    <cellStyle name="40% - Accent3 4 2 3" xfId="3615"/>
    <cellStyle name="40% - Accent3 4 2 3 2" xfId="3616"/>
    <cellStyle name="40% - Accent3 4 2 3 2 2" xfId="11064"/>
    <cellStyle name="40% - Accent3 4 2 3 2 2 2" xfId="25006"/>
    <cellStyle name="40% - Accent3 4 2 3 2 3" xfId="20941"/>
    <cellStyle name="40% - Accent3 4 2 3 3" xfId="3617"/>
    <cellStyle name="40% - Accent3 4 2 3 3 2" xfId="12837"/>
    <cellStyle name="40% - Accent3 4 2 3 3 2 2" xfId="26549"/>
    <cellStyle name="40% - Accent3 4 2 3 3 3" xfId="20942"/>
    <cellStyle name="40% - Accent3 4 2 3 4" xfId="3618"/>
    <cellStyle name="40% - Accent3 4 2 3 4 2" xfId="15230"/>
    <cellStyle name="40% - Accent3 4 2 3 4 2 2" xfId="28779"/>
    <cellStyle name="40% - Accent3 4 2 3 4 3" xfId="20943"/>
    <cellStyle name="40% - Accent3 4 2 3 5" xfId="3619"/>
    <cellStyle name="40% - Accent3 4 2 3 5 2" xfId="16611"/>
    <cellStyle name="40% - Accent3 4 2 3 5 2 2" xfId="30018"/>
    <cellStyle name="40% - Accent3 4 2 3 5 3" xfId="20944"/>
    <cellStyle name="40% - Accent3 4 2 3 6" xfId="9337"/>
    <cellStyle name="40% - Accent3 4 2 3 6 2" xfId="23812"/>
    <cellStyle name="40% - Accent3 4 2 3 7" xfId="20940"/>
    <cellStyle name="40% - Accent3 4 2 4" xfId="3620"/>
    <cellStyle name="40% - Accent3 4 2 4 2" xfId="3621"/>
    <cellStyle name="40% - Accent3 4 2 4 2 2" xfId="15231"/>
    <cellStyle name="40% - Accent3 4 2 4 2 2 2" xfId="28780"/>
    <cellStyle name="40% - Accent3 4 2 4 2 3" xfId="20946"/>
    <cellStyle name="40% - Accent3 4 2 4 3" xfId="11061"/>
    <cellStyle name="40% - Accent3 4 2 4 3 2" xfId="25003"/>
    <cellStyle name="40% - Accent3 4 2 4 4" xfId="20945"/>
    <cellStyle name="40% - Accent3 4 2 5" xfId="3622"/>
    <cellStyle name="40% - Accent3 4 2 5 2" xfId="11988"/>
    <cellStyle name="40% - Accent3 4 2 5 2 2" xfId="25703"/>
    <cellStyle name="40% - Accent3 4 2 5 3" xfId="20947"/>
    <cellStyle name="40% - Accent3 4 2 6" xfId="3623"/>
    <cellStyle name="40% - Accent3 4 2 6 2" xfId="12834"/>
    <cellStyle name="40% - Accent3 4 2 6 2 2" xfId="26546"/>
    <cellStyle name="40% - Accent3 4 2 6 3" xfId="20948"/>
    <cellStyle name="40% - Accent3 4 2 7" xfId="3624"/>
    <cellStyle name="40% - Accent3 4 2 7 2" xfId="13563"/>
    <cellStyle name="40% - Accent3 4 2 7 2 2" xfId="27112"/>
    <cellStyle name="40% - Accent3 4 2 7 3" xfId="20949"/>
    <cellStyle name="40% - Accent3 4 2 8" xfId="3625"/>
    <cellStyle name="40% - Accent3 4 2 8 2" xfId="14144"/>
    <cellStyle name="40% - Accent3 4 2 8 2 2" xfId="27693"/>
    <cellStyle name="40% - Accent3 4 2 8 3" xfId="20950"/>
    <cellStyle name="40% - Accent3 4 2 9" xfId="3626"/>
    <cellStyle name="40% - Accent3 4 2 9 2" xfId="15226"/>
    <cellStyle name="40% - Accent3 4 2 9 2 2" xfId="28775"/>
    <cellStyle name="40% - Accent3 4 2 9 3" xfId="20951"/>
    <cellStyle name="40% - Accent3 4 3" xfId="3627"/>
    <cellStyle name="40% - Accent3 4 3 10" xfId="9338"/>
    <cellStyle name="40% - Accent3 4 3 10 2" xfId="23813"/>
    <cellStyle name="40% - Accent3 4 3 11" xfId="20952"/>
    <cellStyle name="40% - Accent3 4 3 2" xfId="3628"/>
    <cellStyle name="40% - Accent3 4 3 2 2" xfId="3629"/>
    <cellStyle name="40% - Accent3 4 3 2 2 2" xfId="11066"/>
    <cellStyle name="40% - Accent3 4 3 2 2 2 2" xfId="25008"/>
    <cellStyle name="40% - Accent3 4 3 2 2 3" xfId="20954"/>
    <cellStyle name="40% - Accent3 4 3 2 3" xfId="3630"/>
    <cellStyle name="40% - Accent3 4 3 2 3 2" xfId="12839"/>
    <cellStyle name="40% - Accent3 4 3 2 3 2 2" xfId="26551"/>
    <cellStyle name="40% - Accent3 4 3 2 3 3" xfId="20955"/>
    <cellStyle name="40% - Accent3 4 3 2 4" xfId="3631"/>
    <cellStyle name="40% - Accent3 4 3 2 4 2" xfId="15233"/>
    <cellStyle name="40% - Accent3 4 3 2 4 2 2" xfId="28782"/>
    <cellStyle name="40% - Accent3 4 3 2 4 3" xfId="20956"/>
    <cellStyle name="40% - Accent3 4 3 2 5" xfId="3632"/>
    <cellStyle name="40% - Accent3 4 3 2 5 2" xfId="16760"/>
    <cellStyle name="40% - Accent3 4 3 2 5 2 2" xfId="30167"/>
    <cellStyle name="40% - Accent3 4 3 2 5 3" xfId="20957"/>
    <cellStyle name="40% - Accent3 4 3 2 6" xfId="9339"/>
    <cellStyle name="40% - Accent3 4 3 2 6 2" xfId="23814"/>
    <cellStyle name="40% - Accent3 4 3 2 7" xfId="20953"/>
    <cellStyle name="40% - Accent3 4 3 3" xfId="3633"/>
    <cellStyle name="40% - Accent3 4 3 3 2" xfId="3634"/>
    <cellStyle name="40% - Accent3 4 3 3 2 2" xfId="15234"/>
    <cellStyle name="40% - Accent3 4 3 3 2 2 2" xfId="28783"/>
    <cellStyle name="40% - Accent3 4 3 3 2 3" xfId="20959"/>
    <cellStyle name="40% - Accent3 4 3 3 3" xfId="11065"/>
    <cellStyle name="40% - Accent3 4 3 3 3 2" xfId="25007"/>
    <cellStyle name="40% - Accent3 4 3 3 4" xfId="20958"/>
    <cellStyle name="40% - Accent3 4 3 4" xfId="3635"/>
    <cellStyle name="40% - Accent3 4 3 4 2" xfId="12148"/>
    <cellStyle name="40% - Accent3 4 3 4 2 2" xfId="25860"/>
    <cellStyle name="40% - Accent3 4 3 4 3" xfId="20960"/>
    <cellStyle name="40% - Accent3 4 3 5" xfId="3636"/>
    <cellStyle name="40% - Accent3 4 3 5 2" xfId="12838"/>
    <cellStyle name="40% - Accent3 4 3 5 2 2" xfId="26550"/>
    <cellStyle name="40% - Accent3 4 3 5 3" xfId="20961"/>
    <cellStyle name="40% - Accent3 4 3 6" xfId="3637"/>
    <cellStyle name="40% - Accent3 4 3 6 2" xfId="13712"/>
    <cellStyle name="40% - Accent3 4 3 6 2 2" xfId="27261"/>
    <cellStyle name="40% - Accent3 4 3 6 3" xfId="20962"/>
    <cellStyle name="40% - Accent3 4 3 7" xfId="3638"/>
    <cellStyle name="40% - Accent3 4 3 7 2" xfId="14293"/>
    <cellStyle name="40% - Accent3 4 3 7 2 2" xfId="27842"/>
    <cellStyle name="40% - Accent3 4 3 7 3" xfId="20963"/>
    <cellStyle name="40% - Accent3 4 3 8" xfId="3639"/>
    <cellStyle name="40% - Accent3 4 3 8 2" xfId="15232"/>
    <cellStyle name="40% - Accent3 4 3 8 2 2" xfId="28781"/>
    <cellStyle name="40% - Accent3 4 3 8 3" xfId="20964"/>
    <cellStyle name="40% - Accent3 4 3 9" xfId="3640"/>
    <cellStyle name="40% - Accent3 4 3 9 2" xfId="16179"/>
    <cellStyle name="40% - Accent3 4 3 9 2 2" xfId="29586"/>
    <cellStyle name="40% - Accent3 4 3 9 3" xfId="20965"/>
    <cellStyle name="40% - Accent3 4 4" xfId="3641"/>
    <cellStyle name="40% - Accent3 4 4 2" xfId="3642"/>
    <cellStyle name="40% - Accent3 4 4 2 2" xfId="11067"/>
    <cellStyle name="40% - Accent3 4 4 2 2 2" xfId="25009"/>
    <cellStyle name="40% - Accent3 4 4 2 3" xfId="20967"/>
    <cellStyle name="40% - Accent3 4 4 3" xfId="3643"/>
    <cellStyle name="40% - Accent3 4 4 3 2" xfId="12840"/>
    <cellStyle name="40% - Accent3 4 4 3 2 2" xfId="26552"/>
    <cellStyle name="40% - Accent3 4 4 3 3" xfId="20968"/>
    <cellStyle name="40% - Accent3 4 4 4" xfId="3644"/>
    <cellStyle name="40% - Accent3 4 4 4 2" xfId="15235"/>
    <cellStyle name="40% - Accent3 4 4 4 2 2" xfId="28784"/>
    <cellStyle name="40% - Accent3 4 4 4 3" xfId="20969"/>
    <cellStyle name="40% - Accent3 4 4 5" xfId="3645"/>
    <cellStyle name="40% - Accent3 4 4 5 2" xfId="16468"/>
    <cellStyle name="40% - Accent3 4 4 5 2 2" xfId="29875"/>
    <cellStyle name="40% - Accent3 4 4 5 3" xfId="20970"/>
    <cellStyle name="40% - Accent3 4 4 6" xfId="9340"/>
    <cellStyle name="40% - Accent3 4 4 6 2" xfId="23815"/>
    <cellStyle name="40% - Accent3 4 4 7" xfId="20966"/>
    <cellStyle name="40% - Accent3 4 5" xfId="3646"/>
    <cellStyle name="40% - Accent3 4 5 2" xfId="3647"/>
    <cellStyle name="40% - Accent3 4 5 2 2" xfId="15236"/>
    <cellStyle name="40% - Accent3 4 5 2 2 2" xfId="28785"/>
    <cellStyle name="40% - Accent3 4 5 2 3" xfId="20972"/>
    <cellStyle name="40% - Accent3 4 5 3" xfId="11060"/>
    <cellStyle name="40% - Accent3 4 5 3 2" xfId="25002"/>
    <cellStyle name="40% - Accent3 4 5 4" xfId="20971"/>
    <cellStyle name="40% - Accent3 4 6" xfId="3648"/>
    <cellStyle name="40% - Accent3 4 6 2" xfId="11819"/>
    <cellStyle name="40% - Accent3 4 6 2 2" xfId="25534"/>
    <cellStyle name="40% - Accent3 4 6 3" xfId="20973"/>
    <cellStyle name="40% - Accent3 4 7" xfId="3649"/>
    <cellStyle name="40% - Accent3 4 7 2" xfId="12833"/>
    <cellStyle name="40% - Accent3 4 7 2 2" xfId="26545"/>
    <cellStyle name="40% - Accent3 4 7 3" xfId="20974"/>
    <cellStyle name="40% - Accent3 4 8" xfId="3650"/>
    <cellStyle name="40% - Accent3 4 8 2" xfId="13420"/>
    <cellStyle name="40% - Accent3 4 8 2 2" xfId="26969"/>
    <cellStyle name="40% - Accent3 4 8 3" xfId="20975"/>
    <cellStyle name="40% - Accent3 4 9" xfId="3651"/>
    <cellStyle name="40% - Accent3 4 9 2" xfId="14001"/>
    <cellStyle name="40% - Accent3 4 9 2 2" xfId="27550"/>
    <cellStyle name="40% - Accent3 4 9 3" xfId="20976"/>
    <cellStyle name="40% - Accent3 5" xfId="3652"/>
    <cellStyle name="40% - Accent3 5 10" xfId="3653"/>
    <cellStyle name="40% - Accent3 5 10 2" xfId="15237"/>
    <cellStyle name="40% - Accent3 5 10 2 2" xfId="28786"/>
    <cellStyle name="40% - Accent3 5 10 3" xfId="20978"/>
    <cellStyle name="40% - Accent3 5 11" xfId="3654"/>
    <cellStyle name="40% - Accent3 5 11 2" xfId="15870"/>
    <cellStyle name="40% - Accent3 5 11 2 2" xfId="29277"/>
    <cellStyle name="40% - Accent3 5 11 3" xfId="20979"/>
    <cellStyle name="40% - Accent3 5 12" xfId="9341"/>
    <cellStyle name="40% - Accent3 5 12 2" xfId="23816"/>
    <cellStyle name="40% - Accent3 5 13" xfId="20977"/>
    <cellStyle name="40% - Accent3 5 2" xfId="3655"/>
    <cellStyle name="40% - Accent3 5 2 10" xfId="3656"/>
    <cellStyle name="40% - Accent3 5 2 10 2" xfId="16013"/>
    <cellStyle name="40% - Accent3 5 2 10 2 2" xfId="29420"/>
    <cellStyle name="40% - Accent3 5 2 10 3" xfId="20981"/>
    <cellStyle name="40% - Accent3 5 2 11" xfId="9342"/>
    <cellStyle name="40% - Accent3 5 2 11 2" xfId="23817"/>
    <cellStyle name="40% - Accent3 5 2 12" xfId="20980"/>
    <cellStyle name="40% - Accent3 5 2 2" xfId="3657"/>
    <cellStyle name="40% - Accent3 5 2 2 10" xfId="9343"/>
    <cellStyle name="40% - Accent3 5 2 2 10 2" xfId="23818"/>
    <cellStyle name="40% - Accent3 5 2 2 11" xfId="20982"/>
    <cellStyle name="40% - Accent3 5 2 2 2" xfId="3658"/>
    <cellStyle name="40% - Accent3 5 2 2 2 2" xfId="3659"/>
    <cellStyle name="40% - Accent3 5 2 2 2 2 2" xfId="11071"/>
    <cellStyle name="40% - Accent3 5 2 2 2 2 2 2" xfId="25013"/>
    <cellStyle name="40% - Accent3 5 2 2 2 2 3" xfId="20984"/>
    <cellStyle name="40% - Accent3 5 2 2 2 3" xfId="3660"/>
    <cellStyle name="40% - Accent3 5 2 2 2 3 2" xfId="12844"/>
    <cellStyle name="40% - Accent3 5 2 2 2 3 2 2" xfId="26556"/>
    <cellStyle name="40% - Accent3 5 2 2 2 3 3" xfId="20985"/>
    <cellStyle name="40% - Accent3 5 2 2 2 4" xfId="3661"/>
    <cellStyle name="40% - Accent3 5 2 2 2 4 2" xfId="15240"/>
    <cellStyle name="40% - Accent3 5 2 2 2 4 2 2" xfId="28789"/>
    <cellStyle name="40% - Accent3 5 2 2 2 4 3" xfId="20986"/>
    <cellStyle name="40% - Accent3 5 2 2 2 5" xfId="3662"/>
    <cellStyle name="40% - Accent3 5 2 2 2 5 2" xfId="16883"/>
    <cellStyle name="40% - Accent3 5 2 2 2 5 2 2" xfId="30290"/>
    <cellStyle name="40% - Accent3 5 2 2 2 5 3" xfId="20987"/>
    <cellStyle name="40% - Accent3 5 2 2 2 6" xfId="9344"/>
    <cellStyle name="40% - Accent3 5 2 2 2 6 2" xfId="23819"/>
    <cellStyle name="40% - Accent3 5 2 2 2 7" xfId="20983"/>
    <cellStyle name="40% - Accent3 5 2 2 3" xfId="3663"/>
    <cellStyle name="40% - Accent3 5 2 2 3 2" xfId="3664"/>
    <cellStyle name="40% - Accent3 5 2 2 3 2 2" xfId="15241"/>
    <cellStyle name="40% - Accent3 5 2 2 3 2 2 2" xfId="28790"/>
    <cellStyle name="40% - Accent3 5 2 2 3 2 3" xfId="20989"/>
    <cellStyle name="40% - Accent3 5 2 2 3 3" xfId="11070"/>
    <cellStyle name="40% - Accent3 5 2 2 3 3 2" xfId="25012"/>
    <cellStyle name="40% - Accent3 5 2 2 3 4" xfId="20988"/>
    <cellStyle name="40% - Accent3 5 2 2 4" xfId="3665"/>
    <cellStyle name="40% - Accent3 5 2 2 4 2" xfId="12271"/>
    <cellStyle name="40% - Accent3 5 2 2 4 2 2" xfId="25983"/>
    <cellStyle name="40% - Accent3 5 2 2 4 3" xfId="20990"/>
    <cellStyle name="40% - Accent3 5 2 2 5" xfId="3666"/>
    <cellStyle name="40% - Accent3 5 2 2 5 2" xfId="12843"/>
    <cellStyle name="40% - Accent3 5 2 2 5 2 2" xfId="26555"/>
    <cellStyle name="40% - Accent3 5 2 2 5 3" xfId="20991"/>
    <cellStyle name="40% - Accent3 5 2 2 6" xfId="3667"/>
    <cellStyle name="40% - Accent3 5 2 2 6 2" xfId="13835"/>
    <cellStyle name="40% - Accent3 5 2 2 6 2 2" xfId="27384"/>
    <cellStyle name="40% - Accent3 5 2 2 6 3" xfId="20992"/>
    <cellStyle name="40% - Accent3 5 2 2 7" xfId="3668"/>
    <cellStyle name="40% - Accent3 5 2 2 7 2" xfId="14416"/>
    <cellStyle name="40% - Accent3 5 2 2 7 2 2" xfId="27965"/>
    <cellStyle name="40% - Accent3 5 2 2 7 3" xfId="20993"/>
    <cellStyle name="40% - Accent3 5 2 2 8" xfId="3669"/>
    <cellStyle name="40% - Accent3 5 2 2 8 2" xfId="15239"/>
    <cellStyle name="40% - Accent3 5 2 2 8 2 2" xfId="28788"/>
    <cellStyle name="40% - Accent3 5 2 2 8 3" xfId="20994"/>
    <cellStyle name="40% - Accent3 5 2 2 9" xfId="3670"/>
    <cellStyle name="40% - Accent3 5 2 2 9 2" xfId="16302"/>
    <cellStyle name="40% - Accent3 5 2 2 9 2 2" xfId="29709"/>
    <cellStyle name="40% - Accent3 5 2 2 9 3" xfId="20995"/>
    <cellStyle name="40% - Accent3 5 2 3" xfId="3671"/>
    <cellStyle name="40% - Accent3 5 2 3 2" xfId="3672"/>
    <cellStyle name="40% - Accent3 5 2 3 2 2" xfId="11072"/>
    <cellStyle name="40% - Accent3 5 2 3 2 2 2" xfId="25014"/>
    <cellStyle name="40% - Accent3 5 2 3 2 3" xfId="20997"/>
    <cellStyle name="40% - Accent3 5 2 3 3" xfId="3673"/>
    <cellStyle name="40% - Accent3 5 2 3 3 2" xfId="12845"/>
    <cellStyle name="40% - Accent3 5 2 3 3 2 2" xfId="26557"/>
    <cellStyle name="40% - Accent3 5 2 3 3 3" xfId="20998"/>
    <cellStyle name="40% - Accent3 5 2 3 4" xfId="3674"/>
    <cellStyle name="40% - Accent3 5 2 3 4 2" xfId="15242"/>
    <cellStyle name="40% - Accent3 5 2 3 4 2 2" xfId="28791"/>
    <cellStyle name="40% - Accent3 5 2 3 4 3" xfId="20999"/>
    <cellStyle name="40% - Accent3 5 2 3 5" xfId="3675"/>
    <cellStyle name="40% - Accent3 5 2 3 5 2" xfId="16594"/>
    <cellStyle name="40% - Accent3 5 2 3 5 2 2" xfId="30001"/>
    <cellStyle name="40% - Accent3 5 2 3 5 3" xfId="21000"/>
    <cellStyle name="40% - Accent3 5 2 3 6" xfId="9345"/>
    <cellStyle name="40% - Accent3 5 2 3 6 2" xfId="23820"/>
    <cellStyle name="40% - Accent3 5 2 3 7" xfId="20996"/>
    <cellStyle name="40% - Accent3 5 2 4" xfId="3676"/>
    <cellStyle name="40% - Accent3 5 2 4 2" xfId="3677"/>
    <cellStyle name="40% - Accent3 5 2 4 2 2" xfId="15243"/>
    <cellStyle name="40% - Accent3 5 2 4 2 2 2" xfId="28792"/>
    <cellStyle name="40% - Accent3 5 2 4 2 3" xfId="21002"/>
    <cellStyle name="40% - Accent3 5 2 4 3" xfId="11069"/>
    <cellStyle name="40% - Accent3 5 2 4 3 2" xfId="25011"/>
    <cellStyle name="40% - Accent3 5 2 4 4" xfId="21001"/>
    <cellStyle name="40% - Accent3 5 2 5" xfId="3678"/>
    <cellStyle name="40% - Accent3 5 2 5 2" xfId="11971"/>
    <cellStyle name="40% - Accent3 5 2 5 2 2" xfId="25686"/>
    <cellStyle name="40% - Accent3 5 2 5 3" xfId="21003"/>
    <cellStyle name="40% - Accent3 5 2 6" xfId="3679"/>
    <cellStyle name="40% - Accent3 5 2 6 2" xfId="12842"/>
    <cellStyle name="40% - Accent3 5 2 6 2 2" xfId="26554"/>
    <cellStyle name="40% - Accent3 5 2 6 3" xfId="21004"/>
    <cellStyle name="40% - Accent3 5 2 7" xfId="3680"/>
    <cellStyle name="40% - Accent3 5 2 7 2" xfId="13546"/>
    <cellStyle name="40% - Accent3 5 2 7 2 2" xfId="27095"/>
    <cellStyle name="40% - Accent3 5 2 7 3" xfId="21005"/>
    <cellStyle name="40% - Accent3 5 2 8" xfId="3681"/>
    <cellStyle name="40% - Accent3 5 2 8 2" xfId="14127"/>
    <cellStyle name="40% - Accent3 5 2 8 2 2" xfId="27676"/>
    <cellStyle name="40% - Accent3 5 2 8 3" xfId="21006"/>
    <cellStyle name="40% - Accent3 5 2 9" xfId="3682"/>
    <cellStyle name="40% - Accent3 5 2 9 2" xfId="15238"/>
    <cellStyle name="40% - Accent3 5 2 9 2 2" xfId="28787"/>
    <cellStyle name="40% - Accent3 5 2 9 3" xfId="21007"/>
    <cellStyle name="40% - Accent3 5 3" xfId="3683"/>
    <cellStyle name="40% - Accent3 5 3 10" xfId="9346"/>
    <cellStyle name="40% - Accent3 5 3 10 2" xfId="23821"/>
    <cellStyle name="40% - Accent3 5 3 11" xfId="21008"/>
    <cellStyle name="40% - Accent3 5 3 2" xfId="3684"/>
    <cellStyle name="40% - Accent3 5 3 2 2" xfId="3685"/>
    <cellStyle name="40% - Accent3 5 3 2 2 2" xfId="11074"/>
    <cellStyle name="40% - Accent3 5 3 2 2 2 2" xfId="25016"/>
    <cellStyle name="40% - Accent3 5 3 2 2 3" xfId="21010"/>
    <cellStyle name="40% - Accent3 5 3 2 3" xfId="3686"/>
    <cellStyle name="40% - Accent3 5 3 2 3 2" xfId="12847"/>
    <cellStyle name="40% - Accent3 5 3 2 3 2 2" xfId="26559"/>
    <cellStyle name="40% - Accent3 5 3 2 3 3" xfId="21011"/>
    <cellStyle name="40% - Accent3 5 3 2 4" xfId="3687"/>
    <cellStyle name="40% - Accent3 5 3 2 4 2" xfId="15245"/>
    <cellStyle name="40% - Accent3 5 3 2 4 2 2" xfId="28794"/>
    <cellStyle name="40% - Accent3 5 3 2 4 3" xfId="21012"/>
    <cellStyle name="40% - Accent3 5 3 2 5" xfId="3688"/>
    <cellStyle name="40% - Accent3 5 3 2 5 2" xfId="16743"/>
    <cellStyle name="40% - Accent3 5 3 2 5 2 2" xfId="30150"/>
    <cellStyle name="40% - Accent3 5 3 2 5 3" xfId="21013"/>
    <cellStyle name="40% - Accent3 5 3 2 6" xfId="9347"/>
    <cellStyle name="40% - Accent3 5 3 2 6 2" xfId="23822"/>
    <cellStyle name="40% - Accent3 5 3 2 7" xfId="21009"/>
    <cellStyle name="40% - Accent3 5 3 3" xfId="3689"/>
    <cellStyle name="40% - Accent3 5 3 3 2" xfId="3690"/>
    <cellStyle name="40% - Accent3 5 3 3 2 2" xfId="15246"/>
    <cellStyle name="40% - Accent3 5 3 3 2 2 2" xfId="28795"/>
    <cellStyle name="40% - Accent3 5 3 3 2 3" xfId="21015"/>
    <cellStyle name="40% - Accent3 5 3 3 3" xfId="11073"/>
    <cellStyle name="40% - Accent3 5 3 3 3 2" xfId="25015"/>
    <cellStyle name="40% - Accent3 5 3 3 4" xfId="21014"/>
    <cellStyle name="40% - Accent3 5 3 4" xfId="3691"/>
    <cellStyle name="40% - Accent3 5 3 4 2" xfId="12131"/>
    <cellStyle name="40% - Accent3 5 3 4 2 2" xfId="25843"/>
    <cellStyle name="40% - Accent3 5 3 4 3" xfId="21016"/>
    <cellStyle name="40% - Accent3 5 3 5" xfId="3692"/>
    <cellStyle name="40% - Accent3 5 3 5 2" xfId="12846"/>
    <cellStyle name="40% - Accent3 5 3 5 2 2" xfId="26558"/>
    <cellStyle name="40% - Accent3 5 3 5 3" xfId="21017"/>
    <cellStyle name="40% - Accent3 5 3 6" xfId="3693"/>
    <cellStyle name="40% - Accent3 5 3 6 2" xfId="13695"/>
    <cellStyle name="40% - Accent3 5 3 6 2 2" xfId="27244"/>
    <cellStyle name="40% - Accent3 5 3 6 3" xfId="21018"/>
    <cellStyle name="40% - Accent3 5 3 7" xfId="3694"/>
    <cellStyle name="40% - Accent3 5 3 7 2" xfId="14276"/>
    <cellStyle name="40% - Accent3 5 3 7 2 2" xfId="27825"/>
    <cellStyle name="40% - Accent3 5 3 7 3" xfId="21019"/>
    <cellStyle name="40% - Accent3 5 3 8" xfId="3695"/>
    <cellStyle name="40% - Accent3 5 3 8 2" xfId="15244"/>
    <cellStyle name="40% - Accent3 5 3 8 2 2" xfId="28793"/>
    <cellStyle name="40% - Accent3 5 3 8 3" xfId="21020"/>
    <cellStyle name="40% - Accent3 5 3 9" xfId="3696"/>
    <cellStyle name="40% - Accent3 5 3 9 2" xfId="16162"/>
    <cellStyle name="40% - Accent3 5 3 9 2 2" xfId="29569"/>
    <cellStyle name="40% - Accent3 5 3 9 3" xfId="21021"/>
    <cellStyle name="40% - Accent3 5 4" xfId="3697"/>
    <cellStyle name="40% - Accent3 5 4 2" xfId="3698"/>
    <cellStyle name="40% - Accent3 5 4 2 2" xfId="11075"/>
    <cellStyle name="40% - Accent3 5 4 2 2 2" xfId="25017"/>
    <cellStyle name="40% - Accent3 5 4 2 3" xfId="21023"/>
    <cellStyle name="40% - Accent3 5 4 3" xfId="3699"/>
    <cellStyle name="40% - Accent3 5 4 3 2" xfId="12848"/>
    <cellStyle name="40% - Accent3 5 4 3 2 2" xfId="26560"/>
    <cellStyle name="40% - Accent3 5 4 3 3" xfId="21024"/>
    <cellStyle name="40% - Accent3 5 4 4" xfId="3700"/>
    <cellStyle name="40% - Accent3 5 4 4 2" xfId="15247"/>
    <cellStyle name="40% - Accent3 5 4 4 2 2" xfId="28796"/>
    <cellStyle name="40% - Accent3 5 4 4 3" xfId="21025"/>
    <cellStyle name="40% - Accent3 5 4 5" xfId="3701"/>
    <cellStyle name="40% - Accent3 5 4 5 2" xfId="16451"/>
    <cellStyle name="40% - Accent3 5 4 5 2 2" xfId="29858"/>
    <cellStyle name="40% - Accent3 5 4 5 3" xfId="21026"/>
    <cellStyle name="40% - Accent3 5 4 6" xfId="9348"/>
    <cellStyle name="40% - Accent3 5 4 6 2" xfId="23823"/>
    <cellStyle name="40% - Accent3 5 4 7" xfId="21022"/>
    <cellStyle name="40% - Accent3 5 5" xfId="3702"/>
    <cellStyle name="40% - Accent3 5 5 2" xfId="3703"/>
    <cellStyle name="40% - Accent3 5 5 2 2" xfId="15248"/>
    <cellStyle name="40% - Accent3 5 5 2 2 2" xfId="28797"/>
    <cellStyle name="40% - Accent3 5 5 2 3" xfId="21028"/>
    <cellStyle name="40% - Accent3 5 5 3" xfId="11068"/>
    <cellStyle name="40% - Accent3 5 5 3 2" xfId="25010"/>
    <cellStyle name="40% - Accent3 5 5 4" xfId="21027"/>
    <cellStyle name="40% - Accent3 5 6" xfId="3704"/>
    <cellStyle name="40% - Accent3 5 6 2" xfId="11802"/>
    <cellStyle name="40% - Accent3 5 6 2 2" xfId="25517"/>
    <cellStyle name="40% - Accent3 5 6 3" xfId="21029"/>
    <cellStyle name="40% - Accent3 5 7" xfId="3705"/>
    <cellStyle name="40% - Accent3 5 7 2" xfId="12841"/>
    <cellStyle name="40% - Accent3 5 7 2 2" xfId="26553"/>
    <cellStyle name="40% - Accent3 5 7 3" xfId="21030"/>
    <cellStyle name="40% - Accent3 5 8" xfId="3706"/>
    <cellStyle name="40% - Accent3 5 8 2" xfId="13403"/>
    <cellStyle name="40% - Accent3 5 8 2 2" xfId="26952"/>
    <cellStyle name="40% - Accent3 5 8 3" xfId="21031"/>
    <cellStyle name="40% - Accent3 5 9" xfId="3707"/>
    <cellStyle name="40% - Accent3 5 9 2" xfId="13984"/>
    <cellStyle name="40% - Accent3 5 9 2 2" xfId="27533"/>
    <cellStyle name="40% - Accent3 5 9 3" xfId="21032"/>
    <cellStyle name="40% - Accent3 6" xfId="3708"/>
    <cellStyle name="40% - Accent3 6 10" xfId="3709"/>
    <cellStyle name="40% - Accent3 6 10 2" xfId="15249"/>
    <cellStyle name="40% - Accent3 6 10 2 2" xfId="28798"/>
    <cellStyle name="40% - Accent3 6 10 3" xfId="21034"/>
    <cellStyle name="40% - Accent3 6 11" xfId="3710"/>
    <cellStyle name="40% - Accent3 6 11 2" xfId="15976"/>
    <cellStyle name="40% - Accent3 6 11 2 2" xfId="29383"/>
    <cellStyle name="40% - Accent3 6 11 3" xfId="21035"/>
    <cellStyle name="40% - Accent3 6 12" xfId="9349"/>
    <cellStyle name="40% - Accent3 6 12 2" xfId="23824"/>
    <cellStyle name="40% - Accent3 6 13" xfId="21033"/>
    <cellStyle name="40% - Accent3 6 2" xfId="3711"/>
    <cellStyle name="40% - Accent3 6 2 10" xfId="3712"/>
    <cellStyle name="40% - Accent3 6 2 10 2" xfId="16119"/>
    <cellStyle name="40% - Accent3 6 2 10 2 2" xfId="29526"/>
    <cellStyle name="40% - Accent3 6 2 10 3" xfId="21037"/>
    <cellStyle name="40% - Accent3 6 2 11" xfId="9350"/>
    <cellStyle name="40% - Accent3 6 2 11 2" xfId="23825"/>
    <cellStyle name="40% - Accent3 6 2 12" xfId="21036"/>
    <cellStyle name="40% - Accent3 6 2 2" xfId="3713"/>
    <cellStyle name="40% - Accent3 6 2 2 10" xfId="9351"/>
    <cellStyle name="40% - Accent3 6 2 2 10 2" xfId="23826"/>
    <cellStyle name="40% - Accent3 6 2 2 11" xfId="21038"/>
    <cellStyle name="40% - Accent3 6 2 2 2" xfId="3714"/>
    <cellStyle name="40% - Accent3 6 2 2 2 2" xfId="3715"/>
    <cellStyle name="40% - Accent3 6 2 2 2 2 2" xfId="11079"/>
    <cellStyle name="40% - Accent3 6 2 2 2 2 2 2" xfId="25021"/>
    <cellStyle name="40% - Accent3 6 2 2 2 2 3" xfId="21040"/>
    <cellStyle name="40% - Accent3 6 2 2 2 3" xfId="3716"/>
    <cellStyle name="40% - Accent3 6 2 2 2 3 2" xfId="12852"/>
    <cellStyle name="40% - Accent3 6 2 2 2 3 2 2" xfId="26564"/>
    <cellStyle name="40% - Accent3 6 2 2 2 3 3" xfId="21041"/>
    <cellStyle name="40% - Accent3 6 2 2 2 4" xfId="3717"/>
    <cellStyle name="40% - Accent3 6 2 2 2 4 2" xfId="15252"/>
    <cellStyle name="40% - Accent3 6 2 2 2 4 2 2" xfId="28801"/>
    <cellStyle name="40% - Accent3 6 2 2 2 4 3" xfId="21042"/>
    <cellStyle name="40% - Accent3 6 2 2 2 5" xfId="3718"/>
    <cellStyle name="40% - Accent3 6 2 2 2 5 2" xfId="16989"/>
    <cellStyle name="40% - Accent3 6 2 2 2 5 2 2" xfId="30396"/>
    <cellStyle name="40% - Accent3 6 2 2 2 5 3" xfId="21043"/>
    <cellStyle name="40% - Accent3 6 2 2 2 6" xfId="9352"/>
    <cellStyle name="40% - Accent3 6 2 2 2 6 2" xfId="23827"/>
    <cellStyle name="40% - Accent3 6 2 2 2 7" xfId="21039"/>
    <cellStyle name="40% - Accent3 6 2 2 3" xfId="3719"/>
    <cellStyle name="40% - Accent3 6 2 2 3 2" xfId="3720"/>
    <cellStyle name="40% - Accent3 6 2 2 3 2 2" xfId="15253"/>
    <cellStyle name="40% - Accent3 6 2 2 3 2 2 2" xfId="28802"/>
    <cellStyle name="40% - Accent3 6 2 2 3 2 3" xfId="21045"/>
    <cellStyle name="40% - Accent3 6 2 2 3 3" xfId="11078"/>
    <cellStyle name="40% - Accent3 6 2 2 3 3 2" xfId="25020"/>
    <cellStyle name="40% - Accent3 6 2 2 3 4" xfId="21044"/>
    <cellStyle name="40% - Accent3 6 2 2 4" xfId="3721"/>
    <cellStyle name="40% - Accent3 6 2 2 4 2" xfId="12377"/>
    <cellStyle name="40% - Accent3 6 2 2 4 2 2" xfId="26089"/>
    <cellStyle name="40% - Accent3 6 2 2 4 3" xfId="21046"/>
    <cellStyle name="40% - Accent3 6 2 2 5" xfId="3722"/>
    <cellStyle name="40% - Accent3 6 2 2 5 2" xfId="12851"/>
    <cellStyle name="40% - Accent3 6 2 2 5 2 2" xfId="26563"/>
    <cellStyle name="40% - Accent3 6 2 2 5 3" xfId="21047"/>
    <cellStyle name="40% - Accent3 6 2 2 6" xfId="3723"/>
    <cellStyle name="40% - Accent3 6 2 2 6 2" xfId="13941"/>
    <cellStyle name="40% - Accent3 6 2 2 6 2 2" xfId="27490"/>
    <cellStyle name="40% - Accent3 6 2 2 6 3" xfId="21048"/>
    <cellStyle name="40% - Accent3 6 2 2 7" xfId="3724"/>
    <cellStyle name="40% - Accent3 6 2 2 7 2" xfId="14522"/>
    <cellStyle name="40% - Accent3 6 2 2 7 2 2" xfId="28071"/>
    <cellStyle name="40% - Accent3 6 2 2 7 3" xfId="21049"/>
    <cellStyle name="40% - Accent3 6 2 2 8" xfId="3725"/>
    <cellStyle name="40% - Accent3 6 2 2 8 2" xfId="15251"/>
    <cellStyle name="40% - Accent3 6 2 2 8 2 2" xfId="28800"/>
    <cellStyle name="40% - Accent3 6 2 2 8 3" xfId="21050"/>
    <cellStyle name="40% - Accent3 6 2 2 9" xfId="3726"/>
    <cellStyle name="40% - Accent3 6 2 2 9 2" xfId="16408"/>
    <cellStyle name="40% - Accent3 6 2 2 9 2 2" xfId="29815"/>
    <cellStyle name="40% - Accent3 6 2 2 9 3" xfId="21051"/>
    <cellStyle name="40% - Accent3 6 2 3" xfId="3727"/>
    <cellStyle name="40% - Accent3 6 2 3 2" xfId="3728"/>
    <cellStyle name="40% - Accent3 6 2 3 2 2" xfId="11080"/>
    <cellStyle name="40% - Accent3 6 2 3 2 2 2" xfId="25022"/>
    <cellStyle name="40% - Accent3 6 2 3 2 3" xfId="21053"/>
    <cellStyle name="40% - Accent3 6 2 3 3" xfId="3729"/>
    <cellStyle name="40% - Accent3 6 2 3 3 2" xfId="12853"/>
    <cellStyle name="40% - Accent3 6 2 3 3 2 2" xfId="26565"/>
    <cellStyle name="40% - Accent3 6 2 3 3 3" xfId="21054"/>
    <cellStyle name="40% - Accent3 6 2 3 4" xfId="3730"/>
    <cellStyle name="40% - Accent3 6 2 3 4 2" xfId="15254"/>
    <cellStyle name="40% - Accent3 6 2 3 4 2 2" xfId="28803"/>
    <cellStyle name="40% - Accent3 6 2 3 4 3" xfId="21055"/>
    <cellStyle name="40% - Accent3 6 2 3 5" xfId="3731"/>
    <cellStyle name="40% - Accent3 6 2 3 5 2" xfId="16700"/>
    <cellStyle name="40% - Accent3 6 2 3 5 2 2" xfId="30107"/>
    <cellStyle name="40% - Accent3 6 2 3 5 3" xfId="21056"/>
    <cellStyle name="40% - Accent3 6 2 3 6" xfId="9353"/>
    <cellStyle name="40% - Accent3 6 2 3 6 2" xfId="23828"/>
    <cellStyle name="40% - Accent3 6 2 3 7" xfId="21052"/>
    <cellStyle name="40% - Accent3 6 2 4" xfId="3732"/>
    <cellStyle name="40% - Accent3 6 2 4 2" xfId="3733"/>
    <cellStyle name="40% - Accent3 6 2 4 2 2" xfId="15255"/>
    <cellStyle name="40% - Accent3 6 2 4 2 2 2" xfId="28804"/>
    <cellStyle name="40% - Accent3 6 2 4 2 3" xfId="21058"/>
    <cellStyle name="40% - Accent3 6 2 4 3" xfId="11077"/>
    <cellStyle name="40% - Accent3 6 2 4 3 2" xfId="25019"/>
    <cellStyle name="40% - Accent3 6 2 4 4" xfId="21057"/>
    <cellStyle name="40% - Accent3 6 2 5" xfId="3734"/>
    <cellStyle name="40% - Accent3 6 2 5 2" xfId="12077"/>
    <cellStyle name="40% - Accent3 6 2 5 2 2" xfId="25792"/>
    <cellStyle name="40% - Accent3 6 2 5 3" xfId="21059"/>
    <cellStyle name="40% - Accent3 6 2 6" xfId="3735"/>
    <cellStyle name="40% - Accent3 6 2 6 2" xfId="12850"/>
    <cellStyle name="40% - Accent3 6 2 6 2 2" xfId="26562"/>
    <cellStyle name="40% - Accent3 6 2 6 3" xfId="21060"/>
    <cellStyle name="40% - Accent3 6 2 7" xfId="3736"/>
    <cellStyle name="40% - Accent3 6 2 7 2" xfId="13652"/>
    <cellStyle name="40% - Accent3 6 2 7 2 2" xfId="27201"/>
    <cellStyle name="40% - Accent3 6 2 7 3" xfId="21061"/>
    <cellStyle name="40% - Accent3 6 2 8" xfId="3737"/>
    <cellStyle name="40% - Accent3 6 2 8 2" xfId="14233"/>
    <cellStyle name="40% - Accent3 6 2 8 2 2" xfId="27782"/>
    <cellStyle name="40% - Accent3 6 2 8 3" xfId="21062"/>
    <cellStyle name="40% - Accent3 6 2 9" xfId="3738"/>
    <cellStyle name="40% - Accent3 6 2 9 2" xfId="15250"/>
    <cellStyle name="40% - Accent3 6 2 9 2 2" xfId="28799"/>
    <cellStyle name="40% - Accent3 6 2 9 3" xfId="21063"/>
    <cellStyle name="40% - Accent3 6 3" xfId="3739"/>
    <cellStyle name="40% - Accent3 6 3 10" xfId="9354"/>
    <cellStyle name="40% - Accent3 6 3 10 2" xfId="23829"/>
    <cellStyle name="40% - Accent3 6 3 11" xfId="21064"/>
    <cellStyle name="40% - Accent3 6 3 2" xfId="3740"/>
    <cellStyle name="40% - Accent3 6 3 2 2" xfId="3741"/>
    <cellStyle name="40% - Accent3 6 3 2 2 2" xfId="11082"/>
    <cellStyle name="40% - Accent3 6 3 2 2 2 2" xfId="25024"/>
    <cellStyle name="40% - Accent3 6 3 2 2 3" xfId="21066"/>
    <cellStyle name="40% - Accent3 6 3 2 3" xfId="3742"/>
    <cellStyle name="40% - Accent3 6 3 2 3 2" xfId="12855"/>
    <cellStyle name="40% - Accent3 6 3 2 3 2 2" xfId="26567"/>
    <cellStyle name="40% - Accent3 6 3 2 3 3" xfId="21067"/>
    <cellStyle name="40% - Accent3 6 3 2 4" xfId="3743"/>
    <cellStyle name="40% - Accent3 6 3 2 4 2" xfId="15257"/>
    <cellStyle name="40% - Accent3 6 3 2 4 2 2" xfId="28806"/>
    <cellStyle name="40% - Accent3 6 3 2 4 3" xfId="21068"/>
    <cellStyle name="40% - Accent3 6 3 2 5" xfId="3744"/>
    <cellStyle name="40% - Accent3 6 3 2 5 2" xfId="16846"/>
    <cellStyle name="40% - Accent3 6 3 2 5 2 2" xfId="30253"/>
    <cellStyle name="40% - Accent3 6 3 2 5 3" xfId="21069"/>
    <cellStyle name="40% - Accent3 6 3 2 6" xfId="9355"/>
    <cellStyle name="40% - Accent3 6 3 2 6 2" xfId="23830"/>
    <cellStyle name="40% - Accent3 6 3 2 7" xfId="21065"/>
    <cellStyle name="40% - Accent3 6 3 3" xfId="3745"/>
    <cellStyle name="40% - Accent3 6 3 3 2" xfId="3746"/>
    <cellStyle name="40% - Accent3 6 3 3 2 2" xfId="15258"/>
    <cellStyle name="40% - Accent3 6 3 3 2 2 2" xfId="28807"/>
    <cellStyle name="40% - Accent3 6 3 3 2 3" xfId="21071"/>
    <cellStyle name="40% - Accent3 6 3 3 3" xfId="11081"/>
    <cellStyle name="40% - Accent3 6 3 3 3 2" xfId="25023"/>
    <cellStyle name="40% - Accent3 6 3 3 4" xfId="21070"/>
    <cellStyle name="40% - Accent3 6 3 4" xfId="3747"/>
    <cellStyle name="40% - Accent3 6 3 4 2" xfId="12234"/>
    <cellStyle name="40% - Accent3 6 3 4 2 2" xfId="25946"/>
    <cellStyle name="40% - Accent3 6 3 4 3" xfId="21072"/>
    <cellStyle name="40% - Accent3 6 3 5" xfId="3748"/>
    <cellStyle name="40% - Accent3 6 3 5 2" xfId="12854"/>
    <cellStyle name="40% - Accent3 6 3 5 2 2" xfId="26566"/>
    <cellStyle name="40% - Accent3 6 3 5 3" xfId="21073"/>
    <cellStyle name="40% - Accent3 6 3 6" xfId="3749"/>
    <cellStyle name="40% - Accent3 6 3 6 2" xfId="13798"/>
    <cellStyle name="40% - Accent3 6 3 6 2 2" xfId="27347"/>
    <cellStyle name="40% - Accent3 6 3 6 3" xfId="21074"/>
    <cellStyle name="40% - Accent3 6 3 7" xfId="3750"/>
    <cellStyle name="40% - Accent3 6 3 7 2" xfId="14379"/>
    <cellStyle name="40% - Accent3 6 3 7 2 2" xfId="27928"/>
    <cellStyle name="40% - Accent3 6 3 7 3" xfId="21075"/>
    <cellStyle name="40% - Accent3 6 3 8" xfId="3751"/>
    <cellStyle name="40% - Accent3 6 3 8 2" xfId="15256"/>
    <cellStyle name="40% - Accent3 6 3 8 2 2" xfId="28805"/>
    <cellStyle name="40% - Accent3 6 3 8 3" xfId="21076"/>
    <cellStyle name="40% - Accent3 6 3 9" xfId="3752"/>
    <cellStyle name="40% - Accent3 6 3 9 2" xfId="16265"/>
    <cellStyle name="40% - Accent3 6 3 9 2 2" xfId="29672"/>
    <cellStyle name="40% - Accent3 6 3 9 3" xfId="21077"/>
    <cellStyle name="40% - Accent3 6 4" xfId="3753"/>
    <cellStyle name="40% - Accent3 6 4 2" xfId="3754"/>
    <cellStyle name="40% - Accent3 6 4 2 2" xfId="11083"/>
    <cellStyle name="40% - Accent3 6 4 2 2 2" xfId="25025"/>
    <cellStyle name="40% - Accent3 6 4 2 3" xfId="21079"/>
    <cellStyle name="40% - Accent3 6 4 3" xfId="3755"/>
    <cellStyle name="40% - Accent3 6 4 3 2" xfId="12856"/>
    <cellStyle name="40% - Accent3 6 4 3 2 2" xfId="26568"/>
    <cellStyle name="40% - Accent3 6 4 3 3" xfId="21080"/>
    <cellStyle name="40% - Accent3 6 4 4" xfId="3756"/>
    <cellStyle name="40% - Accent3 6 4 4 2" xfId="15259"/>
    <cellStyle name="40% - Accent3 6 4 4 2 2" xfId="28808"/>
    <cellStyle name="40% - Accent3 6 4 4 3" xfId="21081"/>
    <cellStyle name="40% - Accent3 6 4 5" xfId="3757"/>
    <cellStyle name="40% - Accent3 6 4 5 2" xfId="16557"/>
    <cellStyle name="40% - Accent3 6 4 5 2 2" xfId="29964"/>
    <cellStyle name="40% - Accent3 6 4 5 3" xfId="21082"/>
    <cellStyle name="40% - Accent3 6 4 6" xfId="9356"/>
    <cellStyle name="40% - Accent3 6 4 6 2" xfId="23831"/>
    <cellStyle name="40% - Accent3 6 4 7" xfId="21078"/>
    <cellStyle name="40% - Accent3 6 5" xfId="3758"/>
    <cellStyle name="40% - Accent3 6 5 2" xfId="3759"/>
    <cellStyle name="40% - Accent3 6 5 2 2" xfId="15260"/>
    <cellStyle name="40% - Accent3 6 5 2 2 2" xfId="28809"/>
    <cellStyle name="40% - Accent3 6 5 2 3" xfId="21084"/>
    <cellStyle name="40% - Accent3 6 5 3" xfId="11076"/>
    <cellStyle name="40% - Accent3 6 5 3 2" xfId="25018"/>
    <cellStyle name="40% - Accent3 6 5 4" xfId="21083"/>
    <cellStyle name="40% - Accent3 6 6" xfId="3760"/>
    <cellStyle name="40% - Accent3 6 6 2" xfId="11932"/>
    <cellStyle name="40% - Accent3 6 6 2 2" xfId="25647"/>
    <cellStyle name="40% - Accent3 6 6 3" xfId="21085"/>
    <cellStyle name="40% - Accent3 6 7" xfId="3761"/>
    <cellStyle name="40% - Accent3 6 7 2" xfId="12849"/>
    <cellStyle name="40% - Accent3 6 7 2 2" xfId="26561"/>
    <cellStyle name="40% - Accent3 6 7 3" xfId="21086"/>
    <cellStyle name="40% - Accent3 6 8" xfId="3762"/>
    <cellStyle name="40% - Accent3 6 8 2" xfId="13509"/>
    <cellStyle name="40% - Accent3 6 8 2 2" xfId="27058"/>
    <cellStyle name="40% - Accent3 6 8 3" xfId="21087"/>
    <cellStyle name="40% - Accent3 6 9" xfId="3763"/>
    <cellStyle name="40% - Accent3 6 9 2" xfId="14090"/>
    <cellStyle name="40% - Accent3 6 9 2 2" xfId="27639"/>
    <cellStyle name="40% - Accent3 6 9 3" xfId="21088"/>
    <cellStyle name="40% - Accent3 7" xfId="3764"/>
    <cellStyle name="40% - Accent3 7 10" xfId="3765"/>
    <cellStyle name="40% - Accent3 7 10 2" xfId="15993"/>
    <cellStyle name="40% - Accent3 7 10 2 2" xfId="29400"/>
    <cellStyle name="40% - Accent3 7 10 3" xfId="21090"/>
    <cellStyle name="40% - Accent3 7 11" xfId="9357"/>
    <cellStyle name="40% - Accent3 7 11 2" xfId="23832"/>
    <cellStyle name="40% - Accent3 7 12" xfId="21089"/>
    <cellStyle name="40% - Accent3 7 2" xfId="3766"/>
    <cellStyle name="40% - Accent3 7 2 10" xfId="9358"/>
    <cellStyle name="40% - Accent3 7 2 10 2" xfId="23833"/>
    <cellStyle name="40% - Accent3 7 2 11" xfId="21091"/>
    <cellStyle name="40% - Accent3 7 2 2" xfId="3767"/>
    <cellStyle name="40% - Accent3 7 2 2 2" xfId="3768"/>
    <cellStyle name="40% - Accent3 7 2 2 2 2" xfId="11086"/>
    <cellStyle name="40% - Accent3 7 2 2 2 2 2" xfId="25028"/>
    <cellStyle name="40% - Accent3 7 2 2 2 3" xfId="21093"/>
    <cellStyle name="40% - Accent3 7 2 2 3" xfId="3769"/>
    <cellStyle name="40% - Accent3 7 2 2 3 2" xfId="12859"/>
    <cellStyle name="40% - Accent3 7 2 2 3 2 2" xfId="26571"/>
    <cellStyle name="40% - Accent3 7 2 2 3 3" xfId="21094"/>
    <cellStyle name="40% - Accent3 7 2 2 4" xfId="3770"/>
    <cellStyle name="40% - Accent3 7 2 2 4 2" xfId="15263"/>
    <cellStyle name="40% - Accent3 7 2 2 4 2 2" xfId="28812"/>
    <cellStyle name="40% - Accent3 7 2 2 4 3" xfId="21095"/>
    <cellStyle name="40% - Accent3 7 2 2 5" xfId="3771"/>
    <cellStyle name="40% - Accent3 7 2 2 5 2" xfId="16863"/>
    <cellStyle name="40% - Accent3 7 2 2 5 2 2" xfId="30270"/>
    <cellStyle name="40% - Accent3 7 2 2 5 3" xfId="21096"/>
    <cellStyle name="40% - Accent3 7 2 2 6" xfId="9359"/>
    <cellStyle name="40% - Accent3 7 2 2 6 2" xfId="23834"/>
    <cellStyle name="40% - Accent3 7 2 2 7" xfId="21092"/>
    <cellStyle name="40% - Accent3 7 2 3" xfId="3772"/>
    <cellStyle name="40% - Accent3 7 2 3 2" xfId="3773"/>
    <cellStyle name="40% - Accent3 7 2 3 2 2" xfId="15264"/>
    <cellStyle name="40% - Accent3 7 2 3 2 2 2" xfId="28813"/>
    <cellStyle name="40% - Accent3 7 2 3 2 3" xfId="21098"/>
    <cellStyle name="40% - Accent3 7 2 3 3" xfId="11085"/>
    <cellStyle name="40% - Accent3 7 2 3 3 2" xfId="25027"/>
    <cellStyle name="40% - Accent3 7 2 3 4" xfId="21097"/>
    <cellStyle name="40% - Accent3 7 2 4" xfId="3774"/>
    <cellStyle name="40% - Accent3 7 2 4 2" xfId="12251"/>
    <cellStyle name="40% - Accent3 7 2 4 2 2" xfId="25963"/>
    <cellStyle name="40% - Accent3 7 2 4 3" xfId="21099"/>
    <cellStyle name="40% - Accent3 7 2 5" xfId="3775"/>
    <cellStyle name="40% - Accent3 7 2 5 2" xfId="12858"/>
    <cellStyle name="40% - Accent3 7 2 5 2 2" xfId="26570"/>
    <cellStyle name="40% - Accent3 7 2 5 3" xfId="21100"/>
    <cellStyle name="40% - Accent3 7 2 6" xfId="3776"/>
    <cellStyle name="40% - Accent3 7 2 6 2" xfId="13815"/>
    <cellStyle name="40% - Accent3 7 2 6 2 2" xfId="27364"/>
    <cellStyle name="40% - Accent3 7 2 6 3" xfId="21101"/>
    <cellStyle name="40% - Accent3 7 2 7" xfId="3777"/>
    <cellStyle name="40% - Accent3 7 2 7 2" xfId="14396"/>
    <cellStyle name="40% - Accent3 7 2 7 2 2" xfId="27945"/>
    <cellStyle name="40% - Accent3 7 2 7 3" xfId="21102"/>
    <cellStyle name="40% - Accent3 7 2 8" xfId="3778"/>
    <cellStyle name="40% - Accent3 7 2 8 2" xfId="15262"/>
    <cellStyle name="40% - Accent3 7 2 8 2 2" xfId="28811"/>
    <cellStyle name="40% - Accent3 7 2 8 3" xfId="21103"/>
    <cellStyle name="40% - Accent3 7 2 9" xfId="3779"/>
    <cellStyle name="40% - Accent3 7 2 9 2" xfId="16282"/>
    <cellStyle name="40% - Accent3 7 2 9 2 2" xfId="29689"/>
    <cellStyle name="40% - Accent3 7 2 9 3" xfId="21104"/>
    <cellStyle name="40% - Accent3 7 3" xfId="3780"/>
    <cellStyle name="40% - Accent3 7 3 2" xfId="3781"/>
    <cellStyle name="40% - Accent3 7 3 2 2" xfId="11087"/>
    <cellStyle name="40% - Accent3 7 3 2 2 2" xfId="25029"/>
    <cellStyle name="40% - Accent3 7 3 2 3" xfId="21106"/>
    <cellStyle name="40% - Accent3 7 3 3" xfId="3782"/>
    <cellStyle name="40% - Accent3 7 3 3 2" xfId="12860"/>
    <cellStyle name="40% - Accent3 7 3 3 2 2" xfId="26572"/>
    <cellStyle name="40% - Accent3 7 3 3 3" xfId="21107"/>
    <cellStyle name="40% - Accent3 7 3 4" xfId="3783"/>
    <cellStyle name="40% - Accent3 7 3 4 2" xfId="15265"/>
    <cellStyle name="40% - Accent3 7 3 4 2 2" xfId="28814"/>
    <cellStyle name="40% - Accent3 7 3 4 3" xfId="21108"/>
    <cellStyle name="40% - Accent3 7 3 5" xfId="3784"/>
    <cellStyle name="40% - Accent3 7 3 5 2" xfId="16574"/>
    <cellStyle name="40% - Accent3 7 3 5 2 2" xfId="29981"/>
    <cellStyle name="40% - Accent3 7 3 5 3" xfId="21109"/>
    <cellStyle name="40% - Accent3 7 3 6" xfId="9360"/>
    <cellStyle name="40% - Accent3 7 3 6 2" xfId="23835"/>
    <cellStyle name="40% - Accent3 7 3 7" xfId="21105"/>
    <cellStyle name="40% - Accent3 7 4" xfId="3785"/>
    <cellStyle name="40% - Accent3 7 4 2" xfId="3786"/>
    <cellStyle name="40% - Accent3 7 4 2 2" xfId="15266"/>
    <cellStyle name="40% - Accent3 7 4 2 2 2" xfId="28815"/>
    <cellStyle name="40% - Accent3 7 4 2 3" xfId="21111"/>
    <cellStyle name="40% - Accent3 7 4 3" xfId="11084"/>
    <cellStyle name="40% - Accent3 7 4 3 2" xfId="25026"/>
    <cellStyle name="40% - Accent3 7 4 4" xfId="21110"/>
    <cellStyle name="40% - Accent3 7 5" xfId="3787"/>
    <cellStyle name="40% - Accent3 7 5 2" xfId="11949"/>
    <cellStyle name="40% - Accent3 7 5 2 2" xfId="25664"/>
    <cellStyle name="40% - Accent3 7 5 3" xfId="21112"/>
    <cellStyle name="40% - Accent3 7 6" xfId="3788"/>
    <cellStyle name="40% - Accent3 7 6 2" xfId="12857"/>
    <cellStyle name="40% - Accent3 7 6 2 2" xfId="26569"/>
    <cellStyle name="40% - Accent3 7 6 3" xfId="21113"/>
    <cellStyle name="40% - Accent3 7 7" xfId="3789"/>
    <cellStyle name="40% - Accent3 7 7 2" xfId="13526"/>
    <cellStyle name="40% - Accent3 7 7 2 2" xfId="27075"/>
    <cellStyle name="40% - Accent3 7 7 3" xfId="21114"/>
    <cellStyle name="40% - Accent3 7 8" xfId="3790"/>
    <cellStyle name="40% - Accent3 7 8 2" xfId="14107"/>
    <cellStyle name="40% - Accent3 7 8 2 2" xfId="27656"/>
    <cellStyle name="40% - Accent3 7 8 3" xfId="21115"/>
    <cellStyle name="40% - Accent3 7 9" xfId="3791"/>
    <cellStyle name="40% - Accent3 7 9 2" xfId="15261"/>
    <cellStyle name="40% - Accent3 7 9 2 2" xfId="28810"/>
    <cellStyle name="40% - Accent3 7 9 3" xfId="21116"/>
    <cellStyle name="40% - Accent3 8" xfId="3792"/>
    <cellStyle name="40% - Accent3 8 10" xfId="9361"/>
    <cellStyle name="40% - Accent3 8 10 2" xfId="23836"/>
    <cellStyle name="40% - Accent3 8 11" xfId="21117"/>
    <cellStyle name="40% - Accent3 8 2" xfId="3793"/>
    <cellStyle name="40% - Accent3 8 2 2" xfId="3794"/>
    <cellStyle name="40% - Accent3 8 2 2 2" xfId="11089"/>
    <cellStyle name="40% - Accent3 8 2 2 2 2" xfId="25031"/>
    <cellStyle name="40% - Accent3 8 2 2 3" xfId="21119"/>
    <cellStyle name="40% - Accent3 8 2 3" xfId="3795"/>
    <cellStyle name="40% - Accent3 8 2 3 2" xfId="12862"/>
    <cellStyle name="40% - Accent3 8 2 3 2 2" xfId="26574"/>
    <cellStyle name="40% - Accent3 8 2 3 3" xfId="21120"/>
    <cellStyle name="40% - Accent3 8 2 4" xfId="3796"/>
    <cellStyle name="40% - Accent3 8 2 4 2" xfId="15268"/>
    <cellStyle name="40% - Accent3 8 2 4 2 2" xfId="28817"/>
    <cellStyle name="40% - Accent3 8 2 4 3" xfId="21121"/>
    <cellStyle name="40% - Accent3 8 2 5" xfId="3797"/>
    <cellStyle name="40% - Accent3 8 2 5 2" xfId="16720"/>
    <cellStyle name="40% - Accent3 8 2 5 2 2" xfId="30127"/>
    <cellStyle name="40% - Accent3 8 2 5 3" xfId="21122"/>
    <cellStyle name="40% - Accent3 8 2 6" xfId="9362"/>
    <cellStyle name="40% - Accent3 8 2 6 2" xfId="23837"/>
    <cellStyle name="40% - Accent3 8 2 7" xfId="21118"/>
    <cellStyle name="40% - Accent3 8 3" xfId="3798"/>
    <cellStyle name="40% - Accent3 8 3 2" xfId="3799"/>
    <cellStyle name="40% - Accent3 8 3 2 2" xfId="15269"/>
    <cellStyle name="40% - Accent3 8 3 2 2 2" xfId="28818"/>
    <cellStyle name="40% - Accent3 8 3 2 3" xfId="21124"/>
    <cellStyle name="40% - Accent3 8 3 3" xfId="11088"/>
    <cellStyle name="40% - Accent3 8 3 3 2" xfId="25030"/>
    <cellStyle name="40% - Accent3 8 3 4" xfId="21123"/>
    <cellStyle name="40% - Accent3 8 4" xfId="3800"/>
    <cellStyle name="40% - Accent3 8 4 2" xfId="12098"/>
    <cellStyle name="40% - Accent3 8 4 2 2" xfId="25812"/>
    <cellStyle name="40% - Accent3 8 4 3" xfId="21125"/>
    <cellStyle name="40% - Accent3 8 5" xfId="3801"/>
    <cellStyle name="40% - Accent3 8 5 2" xfId="12861"/>
    <cellStyle name="40% - Accent3 8 5 2 2" xfId="26573"/>
    <cellStyle name="40% - Accent3 8 5 3" xfId="21126"/>
    <cellStyle name="40% - Accent3 8 6" xfId="3802"/>
    <cellStyle name="40% - Accent3 8 6 2" xfId="13672"/>
    <cellStyle name="40% - Accent3 8 6 2 2" xfId="27221"/>
    <cellStyle name="40% - Accent3 8 6 3" xfId="21127"/>
    <cellStyle name="40% - Accent3 8 7" xfId="3803"/>
    <cellStyle name="40% - Accent3 8 7 2" xfId="14253"/>
    <cellStyle name="40% - Accent3 8 7 2 2" xfId="27802"/>
    <cellStyle name="40% - Accent3 8 7 3" xfId="21128"/>
    <cellStyle name="40% - Accent3 8 8" xfId="3804"/>
    <cellStyle name="40% - Accent3 8 8 2" xfId="15267"/>
    <cellStyle name="40% - Accent3 8 8 2 2" xfId="28816"/>
    <cellStyle name="40% - Accent3 8 8 3" xfId="21129"/>
    <cellStyle name="40% - Accent3 8 9" xfId="3805"/>
    <cellStyle name="40% - Accent3 8 9 2" xfId="16139"/>
    <cellStyle name="40% - Accent3 8 9 2 2" xfId="29546"/>
    <cellStyle name="40% - Accent3 8 9 3" xfId="21130"/>
    <cellStyle name="40% - Accent3 9" xfId="3806"/>
    <cellStyle name="40% - Accent3 9 2" xfId="3807"/>
    <cellStyle name="40% - Accent3 9 2 2" xfId="11090"/>
    <cellStyle name="40% - Accent3 9 2 2 2" xfId="25032"/>
    <cellStyle name="40% - Accent3 9 2 3" xfId="21132"/>
    <cellStyle name="40% - Accent3 9 3" xfId="3808"/>
    <cellStyle name="40% - Accent3 9 3 2" xfId="12863"/>
    <cellStyle name="40% - Accent3 9 3 2 2" xfId="26575"/>
    <cellStyle name="40% - Accent3 9 3 3" xfId="21133"/>
    <cellStyle name="40% - Accent3 9 4" xfId="3809"/>
    <cellStyle name="40% - Accent3 9 4 2" xfId="15270"/>
    <cellStyle name="40% - Accent3 9 4 2 2" xfId="28819"/>
    <cellStyle name="40% - Accent3 9 4 3" xfId="21134"/>
    <cellStyle name="40% - Accent3 9 5" xfId="3810"/>
    <cellStyle name="40% - Accent3 9 5 2" xfId="17104"/>
    <cellStyle name="40% - Accent3 9 5 2 2" xfId="30463"/>
    <cellStyle name="40% - Accent3 9 5 3" xfId="21135"/>
    <cellStyle name="40% - Accent3 9 6" xfId="9363"/>
    <cellStyle name="40% - Accent3 9 6 2" xfId="23838"/>
    <cellStyle name="40% - Accent3 9 7" xfId="21131"/>
    <cellStyle name="40% - Accent4" xfId="41" builtinId="43" customBuiltin="1"/>
    <cellStyle name="40% - Accent4 10" xfId="3811"/>
    <cellStyle name="40% - Accent4 10 2" xfId="3812"/>
    <cellStyle name="40% - Accent4 10 2 2" xfId="3813"/>
    <cellStyle name="40% - Accent4 10 2 2 2" xfId="12866"/>
    <cellStyle name="40% - Accent4 10 2 2 2 2" xfId="26578"/>
    <cellStyle name="40% - Accent4 10 2 2 3" xfId="21138"/>
    <cellStyle name="40% - Accent4 10 2 3" xfId="3814"/>
    <cellStyle name="40% - Accent4 10 2 3 2" xfId="15273"/>
    <cellStyle name="40% - Accent4 10 2 3 2 2" xfId="28822"/>
    <cellStyle name="40% - Accent4 10 2 3 3" xfId="21139"/>
    <cellStyle name="40% - Accent4 10 2 4" xfId="11092"/>
    <cellStyle name="40% - Accent4 10 2 4 2" xfId="25034"/>
    <cellStyle name="40% - Accent4 10 2 5" xfId="21137"/>
    <cellStyle name="40% - Accent4 10 3" xfId="3815"/>
    <cellStyle name="40% - Accent4 10 3 2" xfId="12865"/>
    <cellStyle name="40% - Accent4 10 3 2 2" xfId="26577"/>
    <cellStyle name="40% - Accent4 10 3 3" xfId="21140"/>
    <cellStyle name="40% - Accent4 10 4" xfId="3816"/>
    <cellStyle name="40% - Accent4 10 4 2" xfId="15272"/>
    <cellStyle name="40% - Accent4 10 4 2 2" xfId="28821"/>
    <cellStyle name="40% - Accent4 10 4 3" xfId="21141"/>
    <cellStyle name="40% - Accent4 10 5" xfId="3817"/>
    <cellStyle name="40% - Accent4 10 5 2" xfId="17194"/>
    <cellStyle name="40% - Accent4 10 5 2 2" xfId="30553"/>
    <cellStyle name="40% - Accent4 10 5 3" xfId="21142"/>
    <cellStyle name="40% - Accent4 10 6" xfId="9365"/>
    <cellStyle name="40% - Accent4 10 6 2" xfId="23840"/>
    <cellStyle name="40% - Accent4 10 7" xfId="21136"/>
    <cellStyle name="40% - Accent4 11" xfId="3818"/>
    <cellStyle name="40% - Accent4 11 2" xfId="3819"/>
    <cellStyle name="40% - Accent4 11 2 2" xfId="11093"/>
    <cellStyle name="40% - Accent4 11 2 2 2" xfId="25035"/>
    <cellStyle name="40% - Accent4 11 2 3" xfId="21144"/>
    <cellStyle name="40% - Accent4 11 3" xfId="3820"/>
    <cellStyle name="40% - Accent4 11 3 2" xfId="12867"/>
    <cellStyle name="40% - Accent4 11 3 2 2" xfId="26579"/>
    <cellStyle name="40% - Accent4 11 3 3" xfId="21145"/>
    <cellStyle name="40% - Accent4 11 4" xfId="3821"/>
    <cellStyle name="40% - Accent4 11 4 2" xfId="15274"/>
    <cellStyle name="40% - Accent4 11 4 2 2" xfId="28823"/>
    <cellStyle name="40% - Accent4 11 4 3" xfId="21146"/>
    <cellStyle name="40% - Accent4 11 5" xfId="3822"/>
    <cellStyle name="40% - Accent4 11 5 2" xfId="17283"/>
    <cellStyle name="40% - Accent4 11 5 2 2" xfId="30642"/>
    <cellStyle name="40% - Accent4 11 5 3" xfId="21147"/>
    <cellStyle name="40% - Accent4 11 6" xfId="9366"/>
    <cellStyle name="40% - Accent4 11 6 2" xfId="23841"/>
    <cellStyle name="40% - Accent4 11 7" xfId="21143"/>
    <cellStyle name="40% - Accent4 12" xfId="3823"/>
    <cellStyle name="40% - Accent4 12 2" xfId="3824"/>
    <cellStyle name="40% - Accent4 12 2 2" xfId="3825"/>
    <cellStyle name="40% - Accent4 12 2 2 2" xfId="11095"/>
    <cellStyle name="40% - Accent4 12 2 2 2 2" xfId="25037"/>
    <cellStyle name="40% - Accent4 12 2 2 3" xfId="21150"/>
    <cellStyle name="40% - Accent4 12 2 3" xfId="3826"/>
    <cellStyle name="40% - Accent4 12 2 3 2" xfId="12869"/>
    <cellStyle name="40% - Accent4 12 2 3 2 2" xfId="26581"/>
    <cellStyle name="40% - Accent4 12 2 3 3" xfId="21151"/>
    <cellStyle name="40% - Accent4 12 2 4" xfId="3827"/>
    <cellStyle name="40% - Accent4 12 2 4 2" xfId="15276"/>
    <cellStyle name="40% - Accent4 12 2 4 2 2" xfId="28825"/>
    <cellStyle name="40% - Accent4 12 2 4 3" xfId="21152"/>
    <cellStyle name="40% - Accent4 12 2 5" xfId="9368"/>
    <cellStyle name="40% - Accent4 12 2 5 2" xfId="23843"/>
    <cellStyle name="40% - Accent4 12 2 6" xfId="21149"/>
    <cellStyle name="40% - Accent4 12 3" xfId="3828"/>
    <cellStyle name="40% - Accent4 12 3 2" xfId="11094"/>
    <cellStyle name="40% - Accent4 12 3 2 2" xfId="25036"/>
    <cellStyle name="40% - Accent4 12 3 3" xfId="21153"/>
    <cellStyle name="40% - Accent4 12 4" xfId="3829"/>
    <cellStyle name="40% - Accent4 12 4 2" xfId="12868"/>
    <cellStyle name="40% - Accent4 12 4 2 2" xfId="26580"/>
    <cellStyle name="40% - Accent4 12 4 3" xfId="21154"/>
    <cellStyle name="40% - Accent4 12 5" xfId="3830"/>
    <cellStyle name="40% - Accent4 12 5 2" xfId="15275"/>
    <cellStyle name="40% - Accent4 12 5 2 2" xfId="28824"/>
    <cellStyle name="40% - Accent4 12 5 3" xfId="21155"/>
    <cellStyle name="40% - Accent4 12 6" xfId="3831"/>
    <cellStyle name="40% - Accent4 12 6 2" xfId="16435"/>
    <cellStyle name="40% - Accent4 12 6 2 2" xfId="29842"/>
    <cellStyle name="40% - Accent4 12 6 3" xfId="21156"/>
    <cellStyle name="40% - Accent4 12 7" xfId="9367"/>
    <cellStyle name="40% - Accent4 12 7 2" xfId="23842"/>
    <cellStyle name="40% - Accent4 12 8" xfId="21148"/>
    <cellStyle name="40% - Accent4 13" xfId="3832"/>
    <cellStyle name="40% - Accent4 13 2" xfId="3833"/>
    <cellStyle name="40% - Accent4 13 2 2" xfId="11096"/>
    <cellStyle name="40% - Accent4 13 2 2 2" xfId="25038"/>
    <cellStyle name="40% - Accent4 13 2 3" xfId="21158"/>
    <cellStyle name="40% - Accent4 13 3" xfId="3834"/>
    <cellStyle name="40% - Accent4 13 3 2" xfId="12870"/>
    <cellStyle name="40% - Accent4 13 3 2 2" xfId="26582"/>
    <cellStyle name="40% - Accent4 13 3 3" xfId="21159"/>
    <cellStyle name="40% - Accent4 13 4" xfId="3835"/>
    <cellStyle name="40% - Accent4 13 4 2" xfId="15277"/>
    <cellStyle name="40% - Accent4 13 4 2 2" xfId="28826"/>
    <cellStyle name="40% - Accent4 13 4 3" xfId="21160"/>
    <cellStyle name="40% - Accent4 13 5" xfId="9369"/>
    <cellStyle name="40% - Accent4 13 5 2" xfId="23844"/>
    <cellStyle name="40% - Accent4 13 6" xfId="21157"/>
    <cellStyle name="40% - Accent4 14" xfId="3836"/>
    <cellStyle name="40% - Accent4 14 2" xfId="3837"/>
    <cellStyle name="40% - Accent4 14 2 2" xfId="11097"/>
    <cellStyle name="40% - Accent4 14 2 2 2" xfId="25039"/>
    <cellStyle name="40% - Accent4 14 2 3" xfId="21162"/>
    <cellStyle name="40% - Accent4 14 3" xfId="3838"/>
    <cellStyle name="40% - Accent4 14 3 2" xfId="12871"/>
    <cellStyle name="40% - Accent4 14 3 2 2" xfId="26583"/>
    <cellStyle name="40% - Accent4 14 3 3" xfId="21163"/>
    <cellStyle name="40% - Accent4 14 4" xfId="3839"/>
    <cellStyle name="40% - Accent4 14 4 2" xfId="15278"/>
    <cellStyle name="40% - Accent4 14 4 2 2" xfId="28827"/>
    <cellStyle name="40% - Accent4 14 4 3" xfId="21164"/>
    <cellStyle name="40% - Accent4 14 5" xfId="9370"/>
    <cellStyle name="40% - Accent4 14 5 2" xfId="23845"/>
    <cellStyle name="40% - Accent4 14 6" xfId="21161"/>
    <cellStyle name="40% - Accent4 15" xfId="3840"/>
    <cellStyle name="40% - Accent4 15 2" xfId="3841"/>
    <cellStyle name="40% - Accent4 15 2 2" xfId="11098"/>
    <cellStyle name="40% - Accent4 15 2 2 2" xfId="25040"/>
    <cellStyle name="40% - Accent4 15 2 3" xfId="21166"/>
    <cellStyle name="40% - Accent4 15 3" xfId="3842"/>
    <cellStyle name="40% - Accent4 15 3 2" xfId="12872"/>
    <cellStyle name="40% - Accent4 15 3 2 2" xfId="26584"/>
    <cellStyle name="40% - Accent4 15 3 3" xfId="21167"/>
    <cellStyle name="40% - Accent4 15 4" xfId="3843"/>
    <cellStyle name="40% - Accent4 15 4 2" xfId="15279"/>
    <cellStyle name="40% - Accent4 15 4 2 2" xfId="28828"/>
    <cellStyle name="40% - Accent4 15 4 3" xfId="21168"/>
    <cellStyle name="40% - Accent4 15 5" xfId="9371"/>
    <cellStyle name="40% - Accent4 15 5 2" xfId="23846"/>
    <cellStyle name="40% - Accent4 15 6" xfId="21165"/>
    <cellStyle name="40% - Accent4 16" xfId="3844"/>
    <cellStyle name="40% - Accent4 16 2" xfId="3845"/>
    <cellStyle name="40% - Accent4 16 2 2" xfId="11099"/>
    <cellStyle name="40% - Accent4 16 2 2 2" xfId="25041"/>
    <cellStyle name="40% - Accent4 16 2 3" xfId="21170"/>
    <cellStyle name="40% - Accent4 16 3" xfId="3846"/>
    <cellStyle name="40% - Accent4 16 3 2" xfId="12873"/>
    <cellStyle name="40% - Accent4 16 3 2 2" xfId="26585"/>
    <cellStyle name="40% - Accent4 16 3 3" xfId="21171"/>
    <cellStyle name="40% - Accent4 16 4" xfId="3847"/>
    <cellStyle name="40% - Accent4 16 4 2" xfId="15280"/>
    <cellStyle name="40% - Accent4 16 4 2 2" xfId="28829"/>
    <cellStyle name="40% - Accent4 16 4 3" xfId="21172"/>
    <cellStyle name="40% - Accent4 16 5" xfId="9372"/>
    <cellStyle name="40% - Accent4 16 5 2" xfId="23847"/>
    <cellStyle name="40% - Accent4 16 6" xfId="21169"/>
    <cellStyle name="40% - Accent4 17" xfId="3848"/>
    <cellStyle name="40% - Accent4 17 2" xfId="3849"/>
    <cellStyle name="40% - Accent4 17 2 2" xfId="11100"/>
    <cellStyle name="40% - Accent4 17 2 2 2" xfId="25042"/>
    <cellStyle name="40% - Accent4 17 2 3" xfId="21174"/>
    <cellStyle name="40% - Accent4 17 3" xfId="3850"/>
    <cellStyle name="40% - Accent4 17 3 2" xfId="12874"/>
    <cellStyle name="40% - Accent4 17 3 2 2" xfId="26586"/>
    <cellStyle name="40% - Accent4 17 3 3" xfId="21175"/>
    <cellStyle name="40% - Accent4 17 4" xfId="3851"/>
    <cellStyle name="40% - Accent4 17 4 2" xfId="15281"/>
    <cellStyle name="40% - Accent4 17 4 2 2" xfId="28830"/>
    <cellStyle name="40% - Accent4 17 4 3" xfId="21176"/>
    <cellStyle name="40% - Accent4 17 5" xfId="9373"/>
    <cellStyle name="40% - Accent4 17 5 2" xfId="23848"/>
    <cellStyle name="40% - Accent4 17 6" xfId="21173"/>
    <cellStyle name="40% - Accent4 18" xfId="3852"/>
    <cellStyle name="40% - Accent4 18 2" xfId="3853"/>
    <cellStyle name="40% - Accent4 18 2 2" xfId="11101"/>
    <cellStyle name="40% - Accent4 18 2 2 2" xfId="25043"/>
    <cellStyle name="40% - Accent4 18 2 3" xfId="21178"/>
    <cellStyle name="40% - Accent4 18 3" xfId="3854"/>
    <cellStyle name="40% - Accent4 18 3 2" xfId="12875"/>
    <cellStyle name="40% - Accent4 18 3 2 2" xfId="26587"/>
    <cellStyle name="40% - Accent4 18 3 3" xfId="21179"/>
    <cellStyle name="40% - Accent4 18 4" xfId="3855"/>
    <cellStyle name="40% - Accent4 18 4 2" xfId="15282"/>
    <cellStyle name="40% - Accent4 18 4 2 2" xfId="28831"/>
    <cellStyle name="40% - Accent4 18 4 3" xfId="21180"/>
    <cellStyle name="40% - Accent4 18 5" xfId="9374"/>
    <cellStyle name="40% - Accent4 18 5 2" xfId="23849"/>
    <cellStyle name="40% - Accent4 18 6" xfId="21177"/>
    <cellStyle name="40% - Accent4 19" xfId="3856"/>
    <cellStyle name="40% - Accent4 19 2" xfId="3857"/>
    <cellStyle name="40% - Accent4 19 2 2" xfId="11719"/>
    <cellStyle name="40% - Accent4 19 2 2 2" xfId="25439"/>
    <cellStyle name="40% - Accent4 19 2 3" xfId="21182"/>
    <cellStyle name="40% - Accent4 19 3" xfId="3858"/>
    <cellStyle name="40% - Accent4 19 3 2" xfId="12876"/>
    <cellStyle name="40% - Accent4 19 3 2 2" xfId="26588"/>
    <cellStyle name="40% - Accent4 19 3 3" xfId="21183"/>
    <cellStyle name="40% - Accent4 19 4" xfId="3859"/>
    <cellStyle name="40% - Accent4 19 4 2" xfId="15283"/>
    <cellStyle name="40% - Accent4 19 4 2 2" xfId="28832"/>
    <cellStyle name="40% - Accent4 19 4 3" xfId="21184"/>
    <cellStyle name="40% - Accent4 19 5" xfId="10471"/>
    <cellStyle name="40% - Accent4 19 5 2" xfId="24430"/>
    <cellStyle name="40% - Accent4 19 6" xfId="21181"/>
    <cellStyle name="40% - Accent4 2" xfId="3860"/>
    <cellStyle name="40% - Accent4 2 10" xfId="3861"/>
    <cellStyle name="40% - Accent4 2 10 2" xfId="3862"/>
    <cellStyle name="40% - Accent4 2 10 2 2" xfId="15285"/>
    <cellStyle name="40% - Accent4 2 10 2 2 2" xfId="28834"/>
    <cellStyle name="40% - Accent4 2 10 2 3" xfId="21187"/>
    <cellStyle name="40% - Accent4 2 10 3" xfId="11843"/>
    <cellStyle name="40% - Accent4 2 10 3 2" xfId="25558"/>
    <cellStyle name="40% - Accent4 2 10 4" xfId="21186"/>
    <cellStyle name="40% - Accent4 2 11" xfId="3863"/>
    <cellStyle name="40% - Accent4 2 11 2" xfId="12877"/>
    <cellStyle name="40% - Accent4 2 11 2 2" xfId="26589"/>
    <cellStyle name="40% - Accent4 2 11 3" xfId="21188"/>
    <cellStyle name="40% - Accent4 2 12" xfId="3864"/>
    <cellStyle name="40% - Accent4 2 12 2" xfId="13442"/>
    <cellStyle name="40% - Accent4 2 12 2 2" xfId="26991"/>
    <cellStyle name="40% - Accent4 2 12 3" xfId="21189"/>
    <cellStyle name="40% - Accent4 2 13" xfId="3865"/>
    <cellStyle name="40% - Accent4 2 13 2" xfId="14023"/>
    <cellStyle name="40% - Accent4 2 13 2 2" xfId="27572"/>
    <cellStyle name="40% - Accent4 2 13 3" xfId="21190"/>
    <cellStyle name="40% - Accent4 2 14" xfId="3866"/>
    <cellStyle name="40% - Accent4 2 14 2" xfId="15284"/>
    <cellStyle name="40% - Accent4 2 14 2 2" xfId="28833"/>
    <cellStyle name="40% - Accent4 2 14 3" xfId="21191"/>
    <cellStyle name="40% - Accent4 2 15" xfId="3867"/>
    <cellStyle name="40% - Accent4 2 15 2" xfId="15909"/>
    <cellStyle name="40% - Accent4 2 15 2 2" xfId="29316"/>
    <cellStyle name="40% - Accent4 2 15 3" xfId="21192"/>
    <cellStyle name="40% - Accent4 2 16" xfId="9375"/>
    <cellStyle name="40% - Accent4 2 16 2" xfId="23850"/>
    <cellStyle name="40% - Accent4 2 17" xfId="21185"/>
    <cellStyle name="40% - Accent4 2 18" xfId="33075"/>
    <cellStyle name="40% - Accent4 2 2" xfId="3868"/>
    <cellStyle name="40% - Accent4 2 2 10" xfId="3869"/>
    <cellStyle name="40% - Accent4 2 2 10 2" xfId="15286"/>
    <cellStyle name="40% - Accent4 2 2 10 2 2" xfId="28835"/>
    <cellStyle name="40% - Accent4 2 2 10 3" xfId="21194"/>
    <cellStyle name="40% - Accent4 2 2 11" xfId="3870"/>
    <cellStyle name="40% - Accent4 2 2 11 2" xfId="15955"/>
    <cellStyle name="40% - Accent4 2 2 11 2 2" xfId="29362"/>
    <cellStyle name="40% - Accent4 2 2 11 3" xfId="21195"/>
    <cellStyle name="40% - Accent4 2 2 12" xfId="9376"/>
    <cellStyle name="40% - Accent4 2 2 12 2" xfId="23851"/>
    <cellStyle name="40% - Accent4 2 2 13" xfId="21193"/>
    <cellStyle name="40% - Accent4 2 2 2" xfId="3871"/>
    <cellStyle name="40% - Accent4 2 2 2 10" xfId="3872"/>
    <cellStyle name="40% - Accent4 2 2 2 10 2" xfId="16098"/>
    <cellStyle name="40% - Accent4 2 2 2 10 2 2" xfId="29505"/>
    <cellStyle name="40% - Accent4 2 2 2 10 3" xfId="21197"/>
    <cellStyle name="40% - Accent4 2 2 2 11" xfId="9377"/>
    <cellStyle name="40% - Accent4 2 2 2 11 2" xfId="23852"/>
    <cellStyle name="40% - Accent4 2 2 2 12" xfId="21196"/>
    <cellStyle name="40% - Accent4 2 2 2 2" xfId="3873"/>
    <cellStyle name="40% - Accent4 2 2 2 2 10" xfId="9378"/>
    <cellStyle name="40% - Accent4 2 2 2 2 10 2" xfId="23853"/>
    <cellStyle name="40% - Accent4 2 2 2 2 11" xfId="21198"/>
    <cellStyle name="40% - Accent4 2 2 2 2 2" xfId="3874"/>
    <cellStyle name="40% - Accent4 2 2 2 2 2 2" xfId="3875"/>
    <cellStyle name="40% - Accent4 2 2 2 2 2 2 2" xfId="11106"/>
    <cellStyle name="40% - Accent4 2 2 2 2 2 2 2 2" xfId="25048"/>
    <cellStyle name="40% - Accent4 2 2 2 2 2 2 3" xfId="21200"/>
    <cellStyle name="40% - Accent4 2 2 2 2 2 3" xfId="3876"/>
    <cellStyle name="40% - Accent4 2 2 2 2 2 3 2" xfId="12881"/>
    <cellStyle name="40% - Accent4 2 2 2 2 2 3 2 2" xfId="26593"/>
    <cellStyle name="40% - Accent4 2 2 2 2 2 3 3" xfId="21201"/>
    <cellStyle name="40% - Accent4 2 2 2 2 2 4" xfId="3877"/>
    <cellStyle name="40% - Accent4 2 2 2 2 2 4 2" xfId="15289"/>
    <cellStyle name="40% - Accent4 2 2 2 2 2 4 2 2" xfId="28838"/>
    <cellStyle name="40% - Accent4 2 2 2 2 2 4 3" xfId="21202"/>
    <cellStyle name="40% - Accent4 2 2 2 2 2 5" xfId="3878"/>
    <cellStyle name="40% - Accent4 2 2 2 2 2 5 2" xfId="16968"/>
    <cellStyle name="40% - Accent4 2 2 2 2 2 5 2 2" xfId="30375"/>
    <cellStyle name="40% - Accent4 2 2 2 2 2 5 3" xfId="21203"/>
    <cellStyle name="40% - Accent4 2 2 2 2 2 6" xfId="9379"/>
    <cellStyle name="40% - Accent4 2 2 2 2 2 6 2" xfId="23854"/>
    <cellStyle name="40% - Accent4 2 2 2 2 2 7" xfId="21199"/>
    <cellStyle name="40% - Accent4 2 2 2 2 3" xfId="3879"/>
    <cellStyle name="40% - Accent4 2 2 2 2 3 2" xfId="3880"/>
    <cellStyle name="40% - Accent4 2 2 2 2 3 2 2" xfId="15290"/>
    <cellStyle name="40% - Accent4 2 2 2 2 3 2 2 2" xfId="28839"/>
    <cellStyle name="40% - Accent4 2 2 2 2 3 2 3" xfId="21205"/>
    <cellStyle name="40% - Accent4 2 2 2 2 3 3" xfId="11105"/>
    <cellStyle name="40% - Accent4 2 2 2 2 3 3 2" xfId="25047"/>
    <cellStyle name="40% - Accent4 2 2 2 2 3 4" xfId="21204"/>
    <cellStyle name="40% - Accent4 2 2 2 2 4" xfId="3881"/>
    <cellStyle name="40% - Accent4 2 2 2 2 4 2" xfId="12356"/>
    <cellStyle name="40% - Accent4 2 2 2 2 4 2 2" xfId="26068"/>
    <cellStyle name="40% - Accent4 2 2 2 2 4 3" xfId="21206"/>
    <cellStyle name="40% - Accent4 2 2 2 2 5" xfId="3882"/>
    <cellStyle name="40% - Accent4 2 2 2 2 5 2" xfId="12880"/>
    <cellStyle name="40% - Accent4 2 2 2 2 5 2 2" xfId="26592"/>
    <cellStyle name="40% - Accent4 2 2 2 2 5 3" xfId="21207"/>
    <cellStyle name="40% - Accent4 2 2 2 2 6" xfId="3883"/>
    <cellStyle name="40% - Accent4 2 2 2 2 6 2" xfId="13920"/>
    <cellStyle name="40% - Accent4 2 2 2 2 6 2 2" xfId="27469"/>
    <cellStyle name="40% - Accent4 2 2 2 2 6 3" xfId="21208"/>
    <cellStyle name="40% - Accent4 2 2 2 2 7" xfId="3884"/>
    <cellStyle name="40% - Accent4 2 2 2 2 7 2" xfId="14501"/>
    <cellStyle name="40% - Accent4 2 2 2 2 7 2 2" xfId="28050"/>
    <cellStyle name="40% - Accent4 2 2 2 2 7 3" xfId="21209"/>
    <cellStyle name="40% - Accent4 2 2 2 2 8" xfId="3885"/>
    <cellStyle name="40% - Accent4 2 2 2 2 8 2" xfId="15288"/>
    <cellStyle name="40% - Accent4 2 2 2 2 8 2 2" xfId="28837"/>
    <cellStyle name="40% - Accent4 2 2 2 2 8 3" xfId="21210"/>
    <cellStyle name="40% - Accent4 2 2 2 2 9" xfId="3886"/>
    <cellStyle name="40% - Accent4 2 2 2 2 9 2" xfId="16387"/>
    <cellStyle name="40% - Accent4 2 2 2 2 9 2 2" xfId="29794"/>
    <cellStyle name="40% - Accent4 2 2 2 2 9 3" xfId="21211"/>
    <cellStyle name="40% - Accent4 2 2 2 3" xfId="3887"/>
    <cellStyle name="40% - Accent4 2 2 2 3 2" xfId="3888"/>
    <cellStyle name="40% - Accent4 2 2 2 3 2 2" xfId="11107"/>
    <cellStyle name="40% - Accent4 2 2 2 3 2 2 2" xfId="25049"/>
    <cellStyle name="40% - Accent4 2 2 2 3 2 3" xfId="21213"/>
    <cellStyle name="40% - Accent4 2 2 2 3 3" xfId="3889"/>
    <cellStyle name="40% - Accent4 2 2 2 3 3 2" xfId="12882"/>
    <cellStyle name="40% - Accent4 2 2 2 3 3 2 2" xfId="26594"/>
    <cellStyle name="40% - Accent4 2 2 2 3 3 3" xfId="21214"/>
    <cellStyle name="40% - Accent4 2 2 2 3 4" xfId="3890"/>
    <cellStyle name="40% - Accent4 2 2 2 3 4 2" xfId="15291"/>
    <cellStyle name="40% - Accent4 2 2 2 3 4 2 2" xfId="28840"/>
    <cellStyle name="40% - Accent4 2 2 2 3 4 3" xfId="21215"/>
    <cellStyle name="40% - Accent4 2 2 2 3 5" xfId="3891"/>
    <cellStyle name="40% - Accent4 2 2 2 3 5 2" xfId="16679"/>
    <cellStyle name="40% - Accent4 2 2 2 3 5 2 2" xfId="30086"/>
    <cellStyle name="40% - Accent4 2 2 2 3 5 3" xfId="21216"/>
    <cellStyle name="40% - Accent4 2 2 2 3 6" xfId="9380"/>
    <cellStyle name="40% - Accent4 2 2 2 3 6 2" xfId="23855"/>
    <cellStyle name="40% - Accent4 2 2 2 3 7" xfId="21212"/>
    <cellStyle name="40% - Accent4 2 2 2 4" xfId="3892"/>
    <cellStyle name="40% - Accent4 2 2 2 4 2" xfId="3893"/>
    <cellStyle name="40% - Accent4 2 2 2 4 2 2" xfId="15292"/>
    <cellStyle name="40% - Accent4 2 2 2 4 2 2 2" xfId="28841"/>
    <cellStyle name="40% - Accent4 2 2 2 4 2 3" xfId="21218"/>
    <cellStyle name="40% - Accent4 2 2 2 4 3" xfId="11104"/>
    <cellStyle name="40% - Accent4 2 2 2 4 3 2" xfId="25046"/>
    <cellStyle name="40% - Accent4 2 2 2 4 4" xfId="21217"/>
    <cellStyle name="40% - Accent4 2 2 2 5" xfId="3894"/>
    <cellStyle name="40% - Accent4 2 2 2 5 2" xfId="12056"/>
    <cellStyle name="40% - Accent4 2 2 2 5 2 2" xfId="25771"/>
    <cellStyle name="40% - Accent4 2 2 2 5 3" xfId="21219"/>
    <cellStyle name="40% - Accent4 2 2 2 6" xfId="3895"/>
    <cellStyle name="40% - Accent4 2 2 2 6 2" xfId="12879"/>
    <cellStyle name="40% - Accent4 2 2 2 6 2 2" xfId="26591"/>
    <cellStyle name="40% - Accent4 2 2 2 6 3" xfId="21220"/>
    <cellStyle name="40% - Accent4 2 2 2 7" xfId="3896"/>
    <cellStyle name="40% - Accent4 2 2 2 7 2" xfId="13631"/>
    <cellStyle name="40% - Accent4 2 2 2 7 2 2" xfId="27180"/>
    <cellStyle name="40% - Accent4 2 2 2 7 3" xfId="21221"/>
    <cellStyle name="40% - Accent4 2 2 2 8" xfId="3897"/>
    <cellStyle name="40% - Accent4 2 2 2 8 2" xfId="14212"/>
    <cellStyle name="40% - Accent4 2 2 2 8 2 2" xfId="27761"/>
    <cellStyle name="40% - Accent4 2 2 2 8 3" xfId="21222"/>
    <cellStyle name="40% - Accent4 2 2 2 9" xfId="3898"/>
    <cellStyle name="40% - Accent4 2 2 2 9 2" xfId="15287"/>
    <cellStyle name="40% - Accent4 2 2 2 9 2 2" xfId="28836"/>
    <cellStyle name="40% - Accent4 2 2 2 9 3" xfId="21223"/>
    <cellStyle name="40% - Accent4 2 2 3" xfId="3899"/>
    <cellStyle name="40% - Accent4 2 2 3 10" xfId="9381"/>
    <cellStyle name="40% - Accent4 2 2 3 10 2" xfId="23856"/>
    <cellStyle name="40% - Accent4 2 2 3 11" xfId="21224"/>
    <cellStyle name="40% - Accent4 2 2 3 2" xfId="3900"/>
    <cellStyle name="40% - Accent4 2 2 3 2 2" xfId="3901"/>
    <cellStyle name="40% - Accent4 2 2 3 2 2 2" xfId="11109"/>
    <cellStyle name="40% - Accent4 2 2 3 2 2 2 2" xfId="25051"/>
    <cellStyle name="40% - Accent4 2 2 3 2 2 3" xfId="21226"/>
    <cellStyle name="40% - Accent4 2 2 3 2 3" xfId="3902"/>
    <cellStyle name="40% - Accent4 2 2 3 2 3 2" xfId="12884"/>
    <cellStyle name="40% - Accent4 2 2 3 2 3 2 2" xfId="26596"/>
    <cellStyle name="40% - Accent4 2 2 3 2 3 3" xfId="21227"/>
    <cellStyle name="40% - Accent4 2 2 3 2 4" xfId="3903"/>
    <cellStyle name="40% - Accent4 2 2 3 2 4 2" xfId="15294"/>
    <cellStyle name="40% - Accent4 2 2 3 2 4 2 2" xfId="28843"/>
    <cellStyle name="40% - Accent4 2 2 3 2 4 3" xfId="21228"/>
    <cellStyle name="40% - Accent4 2 2 3 2 5" xfId="3904"/>
    <cellStyle name="40% - Accent4 2 2 3 2 5 2" xfId="16825"/>
    <cellStyle name="40% - Accent4 2 2 3 2 5 2 2" xfId="30232"/>
    <cellStyle name="40% - Accent4 2 2 3 2 5 3" xfId="21229"/>
    <cellStyle name="40% - Accent4 2 2 3 2 6" xfId="9382"/>
    <cellStyle name="40% - Accent4 2 2 3 2 6 2" xfId="23857"/>
    <cellStyle name="40% - Accent4 2 2 3 2 7" xfId="21225"/>
    <cellStyle name="40% - Accent4 2 2 3 3" xfId="3905"/>
    <cellStyle name="40% - Accent4 2 2 3 3 2" xfId="3906"/>
    <cellStyle name="40% - Accent4 2 2 3 3 2 2" xfId="15295"/>
    <cellStyle name="40% - Accent4 2 2 3 3 2 2 2" xfId="28844"/>
    <cellStyle name="40% - Accent4 2 2 3 3 2 3" xfId="21231"/>
    <cellStyle name="40% - Accent4 2 2 3 3 3" xfId="11108"/>
    <cellStyle name="40% - Accent4 2 2 3 3 3 2" xfId="25050"/>
    <cellStyle name="40% - Accent4 2 2 3 3 4" xfId="21230"/>
    <cellStyle name="40% - Accent4 2 2 3 4" xfId="3907"/>
    <cellStyle name="40% - Accent4 2 2 3 4 2" xfId="12213"/>
    <cellStyle name="40% - Accent4 2 2 3 4 2 2" xfId="25925"/>
    <cellStyle name="40% - Accent4 2 2 3 4 3" xfId="21232"/>
    <cellStyle name="40% - Accent4 2 2 3 5" xfId="3908"/>
    <cellStyle name="40% - Accent4 2 2 3 5 2" xfId="12883"/>
    <cellStyle name="40% - Accent4 2 2 3 5 2 2" xfId="26595"/>
    <cellStyle name="40% - Accent4 2 2 3 5 3" xfId="21233"/>
    <cellStyle name="40% - Accent4 2 2 3 6" xfId="3909"/>
    <cellStyle name="40% - Accent4 2 2 3 6 2" xfId="13777"/>
    <cellStyle name="40% - Accent4 2 2 3 6 2 2" xfId="27326"/>
    <cellStyle name="40% - Accent4 2 2 3 6 3" xfId="21234"/>
    <cellStyle name="40% - Accent4 2 2 3 7" xfId="3910"/>
    <cellStyle name="40% - Accent4 2 2 3 7 2" xfId="14358"/>
    <cellStyle name="40% - Accent4 2 2 3 7 2 2" xfId="27907"/>
    <cellStyle name="40% - Accent4 2 2 3 7 3" xfId="21235"/>
    <cellStyle name="40% - Accent4 2 2 3 8" xfId="3911"/>
    <cellStyle name="40% - Accent4 2 2 3 8 2" xfId="15293"/>
    <cellStyle name="40% - Accent4 2 2 3 8 2 2" xfId="28842"/>
    <cellStyle name="40% - Accent4 2 2 3 8 3" xfId="21236"/>
    <cellStyle name="40% - Accent4 2 2 3 9" xfId="3912"/>
    <cellStyle name="40% - Accent4 2 2 3 9 2" xfId="16244"/>
    <cellStyle name="40% - Accent4 2 2 3 9 2 2" xfId="29651"/>
    <cellStyle name="40% - Accent4 2 2 3 9 3" xfId="21237"/>
    <cellStyle name="40% - Accent4 2 2 4" xfId="3913"/>
    <cellStyle name="40% - Accent4 2 2 4 2" xfId="3914"/>
    <cellStyle name="40% - Accent4 2 2 4 2 2" xfId="11110"/>
    <cellStyle name="40% - Accent4 2 2 4 2 2 2" xfId="25052"/>
    <cellStyle name="40% - Accent4 2 2 4 2 3" xfId="21239"/>
    <cellStyle name="40% - Accent4 2 2 4 3" xfId="3915"/>
    <cellStyle name="40% - Accent4 2 2 4 3 2" xfId="12885"/>
    <cellStyle name="40% - Accent4 2 2 4 3 2 2" xfId="26597"/>
    <cellStyle name="40% - Accent4 2 2 4 3 3" xfId="21240"/>
    <cellStyle name="40% - Accent4 2 2 4 4" xfId="3916"/>
    <cellStyle name="40% - Accent4 2 2 4 4 2" xfId="15296"/>
    <cellStyle name="40% - Accent4 2 2 4 4 2 2" xfId="28845"/>
    <cellStyle name="40% - Accent4 2 2 4 4 3" xfId="21241"/>
    <cellStyle name="40% - Accent4 2 2 4 5" xfId="3917"/>
    <cellStyle name="40% - Accent4 2 2 4 5 2" xfId="17172"/>
    <cellStyle name="40% - Accent4 2 2 4 5 2 2" xfId="30531"/>
    <cellStyle name="40% - Accent4 2 2 4 5 3" xfId="21242"/>
    <cellStyle name="40% - Accent4 2 2 4 6" xfId="9383"/>
    <cellStyle name="40% - Accent4 2 2 4 6 2" xfId="23858"/>
    <cellStyle name="40% - Accent4 2 2 4 7" xfId="21238"/>
    <cellStyle name="40% - Accent4 2 2 5" xfId="3918"/>
    <cellStyle name="40% - Accent4 2 2 5 2" xfId="3919"/>
    <cellStyle name="40% - Accent4 2 2 5 2 2" xfId="15297"/>
    <cellStyle name="40% - Accent4 2 2 5 2 2 2" xfId="28846"/>
    <cellStyle name="40% - Accent4 2 2 5 2 3" xfId="21244"/>
    <cellStyle name="40% - Accent4 2 2 5 3" xfId="3920"/>
    <cellStyle name="40% - Accent4 2 2 5 3 2" xfId="17261"/>
    <cellStyle name="40% - Accent4 2 2 5 3 2 2" xfId="30620"/>
    <cellStyle name="40% - Accent4 2 2 5 3 3" xfId="21245"/>
    <cellStyle name="40% - Accent4 2 2 5 4" xfId="11103"/>
    <cellStyle name="40% - Accent4 2 2 5 4 2" xfId="25045"/>
    <cellStyle name="40% - Accent4 2 2 5 5" xfId="21243"/>
    <cellStyle name="40% - Accent4 2 2 6" xfId="3921"/>
    <cellStyle name="40% - Accent4 2 2 6 2" xfId="3922"/>
    <cellStyle name="40% - Accent4 2 2 6 2 2" xfId="16536"/>
    <cellStyle name="40% - Accent4 2 2 6 2 2 2" xfId="29943"/>
    <cellStyle name="40% - Accent4 2 2 6 2 3" xfId="21247"/>
    <cellStyle name="40% - Accent4 2 2 6 3" xfId="11911"/>
    <cellStyle name="40% - Accent4 2 2 6 3 2" xfId="25626"/>
    <cellStyle name="40% - Accent4 2 2 6 4" xfId="21246"/>
    <cellStyle name="40% - Accent4 2 2 7" xfId="3923"/>
    <cellStyle name="40% - Accent4 2 2 7 2" xfId="12878"/>
    <cellStyle name="40% - Accent4 2 2 7 2 2" xfId="26590"/>
    <cellStyle name="40% - Accent4 2 2 7 3" xfId="21248"/>
    <cellStyle name="40% - Accent4 2 2 8" xfId="3924"/>
    <cellStyle name="40% - Accent4 2 2 8 2" xfId="13488"/>
    <cellStyle name="40% - Accent4 2 2 8 2 2" xfId="27037"/>
    <cellStyle name="40% - Accent4 2 2 8 3" xfId="21249"/>
    <cellStyle name="40% - Accent4 2 2 9" xfId="3925"/>
    <cellStyle name="40% - Accent4 2 2 9 2" xfId="14069"/>
    <cellStyle name="40% - Accent4 2 2 9 2 2" xfId="27618"/>
    <cellStyle name="40% - Accent4 2 2 9 3" xfId="21250"/>
    <cellStyle name="40% - Accent4 2 3" xfId="3926"/>
    <cellStyle name="40% - Accent4 2 3 10" xfId="3927"/>
    <cellStyle name="40% - Accent4 2 3 10 2" xfId="16052"/>
    <cellStyle name="40% - Accent4 2 3 10 2 2" xfId="29459"/>
    <cellStyle name="40% - Accent4 2 3 10 3" xfId="21252"/>
    <cellStyle name="40% - Accent4 2 3 11" xfId="9384"/>
    <cellStyle name="40% - Accent4 2 3 11 2" xfId="23859"/>
    <cellStyle name="40% - Accent4 2 3 12" xfId="21251"/>
    <cellStyle name="40% - Accent4 2 3 2" xfId="3928"/>
    <cellStyle name="40% - Accent4 2 3 2 10" xfId="9385"/>
    <cellStyle name="40% - Accent4 2 3 2 10 2" xfId="23860"/>
    <cellStyle name="40% - Accent4 2 3 2 11" xfId="21253"/>
    <cellStyle name="40% - Accent4 2 3 2 2" xfId="3929"/>
    <cellStyle name="40% - Accent4 2 3 2 2 2" xfId="3930"/>
    <cellStyle name="40% - Accent4 2 3 2 2 2 2" xfId="11113"/>
    <cellStyle name="40% - Accent4 2 3 2 2 2 2 2" xfId="25055"/>
    <cellStyle name="40% - Accent4 2 3 2 2 2 3" xfId="21255"/>
    <cellStyle name="40% - Accent4 2 3 2 2 3" xfId="3931"/>
    <cellStyle name="40% - Accent4 2 3 2 2 3 2" xfId="12888"/>
    <cellStyle name="40% - Accent4 2 3 2 2 3 2 2" xfId="26600"/>
    <cellStyle name="40% - Accent4 2 3 2 2 3 3" xfId="21256"/>
    <cellStyle name="40% - Accent4 2 3 2 2 4" xfId="3932"/>
    <cellStyle name="40% - Accent4 2 3 2 2 4 2" xfId="15300"/>
    <cellStyle name="40% - Accent4 2 3 2 2 4 2 2" xfId="28849"/>
    <cellStyle name="40% - Accent4 2 3 2 2 4 3" xfId="21257"/>
    <cellStyle name="40% - Accent4 2 3 2 2 5" xfId="3933"/>
    <cellStyle name="40% - Accent4 2 3 2 2 5 2" xfId="16922"/>
    <cellStyle name="40% - Accent4 2 3 2 2 5 2 2" xfId="30329"/>
    <cellStyle name="40% - Accent4 2 3 2 2 5 3" xfId="21258"/>
    <cellStyle name="40% - Accent4 2 3 2 2 6" xfId="9386"/>
    <cellStyle name="40% - Accent4 2 3 2 2 6 2" xfId="23861"/>
    <cellStyle name="40% - Accent4 2 3 2 2 7" xfId="21254"/>
    <cellStyle name="40% - Accent4 2 3 2 3" xfId="3934"/>
    <cellStyle name="40% - Accent4 2 3 2 3 2" xfId="3935"/>
    <cellStyle name="40% - Accent4 2 3 2 3 2 2" xfId="15301"/>
    <cellStyle name="40% - Accent4 2 3 2 3 2 2 2" xfId="28850"/>
    <cellStyle name="40% - Accent4 2 3 2 3 2 3" xfId="21260"/>
    <cellStyle name="40% - Accent4 2 3 2 3 3" xfId="11112"/>
    <cellStyle name="40% - Accent4 2 3 2 3 3 2" xfId="25054"/>
    <cellStyle name="40% - Accent4 2 3 2 3 4" xfId="21259"/>
    <cellStyle name="40% - Accent4 2 3 2 4" xfId="3936"/>
    <cellStyle name="40% - Accent4 2 3 2 4 2" xfId="12310"/>
    <cellStyle name="40% - Accent4 2 3 2 4 2 2" xfId="26022"/>
    <cellStyle name="40% - Accent4 2 3 2 4 3" xfId="21261"/>
    <cellStyle name="40% - Accent4 2 3 2 5" xfId="3937"/>
    <cellStyle name="40% - Accent4 2 3 2 5 2" xfId="12887"/>
    <cellStyle name="40% - Accent4 2 3 2 5 2 2" xfId="26599"/>
    <cellStyle name="40% - Accent4 2 3 2 5 3" xfId="21262"/>
    <cellStyle name="40% - Accent4 2 3 2 6" xfId="3938"/>
    <cellStyle name="40% - Accent4 2 3 2 6 2" xfId="13874"/>
    <cellStyle name="40% - Accent4 2 3 2 6 2 2" xfId="27423"/>
    <cellStyle name="40% - Accent4 2 3 2 6 3" xfId="21263"/>
    <cellStyle name="40% - Accent4 2 3 2 7" xfId="3939"/>
    <cellStyle name="40% - Accent4 2 3 2 7 2" xfId="14455"/>
    <cellStyle name="40% - Accent4 2 3 2 7 2 2" xfId="28004"/>
    <cellStyle name="40% - Accent4 2 3 2 7 3" xfId="21264"/>
    <cellStyle name="40% - Accent4 2 3 2 8" xfId="3940"/>
    <cellStyle name="40% - Accent4 2 3 2 8 2" xfId="15299"/>
    <cellStyle name="40% - Accent4 2 3 2 8 2 2" xfId="28848"/>
    <cellStyle name="40% - Accent4 2 3 2 8 3" xfId="21265"/>
    <cellStyle name="40% - Accent4 2 3 2 9" xfId="3941"/>
    <cellStyle name="40% - Accent4 2 3 2 9 2" xfId="16341"/>
    <cellStyle name="40% - Accent4 2 3 2 9 2 2" xfId="29748"/>
    <cellStyle name="40% - Accent4 2 3 2 9 3" xfId="21266"/>
    <cellStyle name="40% - Accent4 2 3 3" xfId="3942"/>
    <cellStyle name="40% - Accent4 2 3 3 2" xfId="3943"/>
    <cellStyle name="40% - Accent4 2 3 3 2 2" xfId="11114"/>
    <cellStyle name="40% - Accent4 2 3 3 2 2 2" xfId="25056"/>
    <cellStyle name="40% - Accent4 2 3 3 2 3" xfId="21268"/>
    <cellStyle name="40% - Accent4 2 3 3 3" xfId="3944"/>
    <cellStyle name="40% - Accent4 2 3 3 3 2" xfId="12889"/>
    <cellStyle name="40% - Accent4 2 3 3 3 2 2" xfId="26601"/>
    <cellStyle name="40% - Accent4 2 3 3 3 3" xfId="21269"/>
    <cellStyle name="40% - Accent4 2 3 3 4" xfId="3945"/>
    <cellStyle name="40% - Accent4 2 3 3 4 2" xfId="15302"/>
    <cellStyle name="40% - Accent4 2 3 3 4 2 2" xfId="28851"/>
    <cellStyle name="40% - Accent4 2 3 3 4 3" xfId="21270"/>
    <cellStyle name="40% - Accent4 2 3 3 5" xfId="3946"/>
    <cellStyle name="40% - Accent4 2 3 3 5 2" xfId="16633"/>
    <cellStyle name="40% - Accent4 2 3 3 5 2 2" xfId="30040"/>
    <cellStyle name="40% - Accent4 2 3 3 5 3" xfId="21271"/>
    <cellStyle name="40% - Accent4 2 3 3 6" xfId="9387"/>
    <cellStyle name="40% - Accent4 2 3 3 6 2" xfId="23862"/>
    <cellStyle name="40% - Accent4 2 3 3 7" xfId="21267"/>
    <cellStyle name="40% - Accent4 2 3 4" xfId="3947"/>
    <cellStyle name="40% - Accent4 2 3 4 2" xfId="3948"/>
    <cellStyle name="40% - Accent4 2 3 4 2 2" xfId="15303"/>
    <cellStyle name="40% - Accent4 2 3 4 2 2 2" xfId="28852"/>
    <cellStyle name="40% - Accent4 2 3 4 2 3" xfId="21273"/>
    <cellStyle name="40% - Accent4 2 3 4 3" xfId="11111"/>
    <cellStyle name="40% - Accent4 2 3 4 3 2" xfId="25053"/>
    <cellStyle name="40% - Accent4 2 3 4 4" xfId="21272"/>
    <cellStyle name="40% - Accent4 2 3 5" xfId="3949"/>
    <cellStyle name="40% - Accent4 2 3 5 2" xfId="12010"/>
    <cellStyle name="40% - Accent4 2 3 5 2 2" xfId="25725"/>
    <cellStyle name="40% - Accent4 2 3 5 3" xfId="21274"/>
    <cellStyle name="40% - Accent4 2 3 6" xfId="3950"/>
    <cellStyle name="40% - Accent4 2 3 6 2" xfId="12886"/>
    <cellStyle name="40% - Accent4 2 3 6 2 2" xfId="26598"/>
    <cellStyle name="40% - Accent4 2 3 6 3" xfId="21275"/>
    <cellStyle name="40% - Accent4 2 3 7" xfId="3951"/>
    <cellStyle name="40% - Accent4 2 3 7 2" xfId="13585"/>
    <cellStyle name="40% - Accent4 2 3 7 2 2" xfId="27134"/>
    <cellStyle name="40% - Accent4 2 3 7 3" xfId="21276"/>
    <cellStyle name="40% - Accent4 2 3 8" xfId="3952"/>
    <cellStyle name="40% - Accent4 2 3 8 2" xfId="14166"/>
    <cellStyle name="40% - Accent4 2 3 8 2 2" xfId="27715"/>
    <cellStyle name="40% - Accent4 2 3 8 3" xfId="21277"/>
    <cellStyle name="40% - Accent4 2 3 9" xfId="3953"/>
    <cellStyle name="40% - Accent4 2 3 9 2" xfId="15298"/>
    <cellStyle name="40% - Accent4 2 3 9 2 2" xfId="28847"/>
    <cellStyle name="40% - Accent4 2 3 9 3" xfId="21278"/>
    <cellStyle name="40% - Accent4 2 4" xfId="3954"/>
    <cellStyle name="40% - Accent4 2 4 10" xfId="9388"/>
    <cellStyle name="40% - Accent4 2 4 10 2" xfId="23863"/>
    <cellStyle name="40% - Accent4 2 4 11" xfId="21279"/>
    <cellStyle name="40% - Accent4 2 4 2" xfId="3955"/>
    <cellStyle name="40% - Accent4 2 4 2 2" xfId="3956"/>
    <cellStyle name="40% - Accent4 2 4 2 2 2" xfId="11116"/>
    <cellStyle name="40% - Accent4 2 4 2 2 2 2" xfId="25058"/>
    <cellStyle name="40% - Accent4 2 4 2 2 3" xfId="21281"/>
    <cellStyle name="40% - Accent4 2 4 2 3" xfId="3957"/>
    <cellStyle name="40% - Accent4 2 4 2 3 2" xfId="12891"/>
    <cellStyle name="40% - Accent4 2 4 2 3 2 2" xfId="26603"/>
    <cellStyle name="40% - Accent4 2 4 2 3 3" xfId="21282"/>
    <cellStyle name="40% - Accent4 2 4 2 4" xfId="3958"/>
    <cellStyle name="40% - Accent4 2 4 2 4 2" xfId="15305"/>
    <cellStyle name="40% - Accent4 2 4 2 4 2 2" xfId="28854"/>
    <cellStyle name="40% - Accent4 2 4 2 4 3" xfId="21283"/>
    <cellStyle name="40% - Accent4 2 4 2 5" xfId="3959"/>
    <cellStyle name="40% - Accent4 2 4 2 5 2" xfId="16779"/>
    <cellStyle name="40% - Accent4 2 4 2 5 2 2" xfId="30186"/>
    <cellStyle name="40% - Accent4 2 4 2 5 3" xfId="21284"/>
    <cellStyle name="40% - Accent4 2 4 2 6" xfId="9389"/>
    <cellStyle name="40% - Accent4 2 4 2 6 2" xfId="23864"/>
    <cellStyle name="40% - Accent4 2 4 2 7" xfId="21280"/>
    <cellStyle name="40% - Accent4 2 4 3" xfId="3960"/>
    <cellStyle name="40% - Accent4 2 4 3 2" xfId="3961"/>
    <cellStyle name="40% - Accent4 2 4 3 2 2" xfId="15306"/>
    <cellStyle name="40% - Accent4 2 4 3 2 2 2" xfId="28855"/>
    <cellStyle name="40% - Accent4 2 4 3 2 3" xfId="21286"/>
    <cellStyle name="40% - Accent4 2 4 3 3" xfId="11115"/>
    <cellStyle name="40% - Accent4 2 4 3 3 2" xfId="25057"/>
    <cellStyle name="40% - Accent4 2 4 3 4" xfId="21285"/>
    <cellStyle name="40% - Accent4 2 4 4" xfId="3962"/>
    <cellStyle name="40% - Accent4 2 4 4 2" xfId="12167"/>
    <cellStyle name="40% - Accent4 2 4 4 2 2" xfId="25879"/>
    <cellStyle name="40% - Accent4 2 4 4 3" xfId="21287"/>
    <cellStyle name="40% - Accent4 2 4 5" xfId="3963"/>
    <cellStyle name="40% - Accent4 2 4 5 2" xfId="12890"/>
    <cellStyle name="40% - Accent4 2 4 5 2 2" xfId="26602"/>
    <cellStyle name="40% - Accent4 2 4 5 3" xfId="21288"/>
    <cellStyle name="40% - Accent4 2 4 6" xfId="3964"/>
    <cellStyle name="40% - Accent4 2 4 6 2" xfId="13731"/>
    <cellStyle name="40% - Accent4 2 4 6 2 2" xfId="27280"/>
    <cellStyle name="40% - Accent4 2 4 6 3" xfId="21289"/>
    <cellStyle name="40% - Accent4 2 4 7" xfId="3965"/>
    <cellStyle name="40% - Accent4 2 4 7 2" xfId="14312"/>
    <cellStyle name="40% - Accent4 2 4 7 2 2" xfId="27861"/>
    <cellStyle name="40% - Accent4 2 4 7 3" xfId="21290"/>
    <cellStyle name="40% - Accent4 2 4 8" xfId="3966"/>
    <cellStyle name="40% - Accent4 2 4 8 2" xfId="15304"/>
    <cellStyle name="40% - Accent4 2 4 8 2 2" xfId="28853"/>
    <cellStyle name="40% - Accent4 2 4 8 3" xfId="21291"/>
    <cellStyle name="40% - Accent4 2 4 9" xfId="3967"/>
    <cellStyle name="40% - Accent4 2 4 9 2" xfId="16198"/>
    <cellStyle name="40% - Accent4 2 4 9 2 2" xfId="29605"/>
    <cellStyle name="40% - Accent4 2 4 9 3" xfId="21292"/>
    <cellStyle name="40% - Accent4 2 5" xfId="3968"/>
    <cellStyle name="40% - Accent4 2 5 2" xfId="3969"/>
    <cellStyle name="40% - Accent4 2 5 2 2" xfId="3970"/>
    <cellStyle name="40% - Accent4 2 5 2 2 2" xfId="11118"/>
    <cellStyle name="40% - Accent4 2 5 2 2 2 2" xfId="25060"/>
    <cellStyle name="40% - Accent4 2 5 2 2 3" xfId="21295"/>
    <cellStyle name="40% - Accent4 2 5 2 3" xfId="3971"/>
    <cellStyle name="40% - Accent4 2 5 2 3 2" xfId="12893"/>
    <cellStyle name="40% - Accent4 2 5 2 3 2 2" xfId="26605"/>
    <cellStyle name="40% - Accent4 2 5 2 3 3" xfId="21296"/>
    <cellStyle name="40% - Accent4 2 5 2 4" xfId="3972"/>
    <cellStyle name="40% - Accent4 2 5 2 4 2" xfId="15308"/>
    <cellStyle name="40% - Accent4 2 5 2 4 2 2" xfId="28857"/>
    <cellStyle name="40% - Accent4 2 5 2 4 3" xfId="21297"/>
    <cellStyle name="40% - Accent4 2 5 2 5" xfId="9391"/>
    <cellStyle name="40% - Accent4 2 5 2 5 2" xfId="23866"/>
    <cellStyle name="40% - Accent4 2 5 2 6" xfId="21294"/>
    <cellStyle name="40% - Accent4 2 5 3" xfId="3973"/>
    <cellStyle name="40% - Accent4 2 5 3 2" xfId="11117"/>
    <cellStyle name="40% - Accent4 2 5 3 2 2" xfId="25059"/>
    <cellStyle name="40% - Accent4 2 5 3 3" xfId="21298"/>
    <cellStyle name="40% - Accent4 2 5 4" xfId="3974"/>
    <cellStyle name="40% - Accent4 2 5 4 2" xfId="12892"/>
    <cellStyle name="40% - Accent4 2 5 4 2 2" xfId="26604"/>
    <cellStyle name="40% - Accent4 2 5 4 3" xfId="21299"/>
    <cellStyle name="40% - Accent4 2 5 5" xfId="3975"/>
    <cellStyle name="40% - Accent4 2 5 5 2" xfId="15307"/>
    <cellStyle name="40% - Accent4 2 5 5 2 2" xfId="28856"/>
    <cellStyle name="40% - Accent4 2 5 5 3" xfId="21300"/>
    <cellStyle name="40% - Accent4 2 5 6" xfId="3976"/>
    <cellStyle name="40% - Accent4 2 5 6 2" xfId="17016"/>
    <cellStyle name="40% - Accent4 2 5 6 2 2" xfId="30423"/>
    <cellStyle name="40% - Accent4 2 5 6 3" xfId="21301"/>
    <cellStyle name="40% - Accent4 2 5 7" xfId="9390"/>
    <cellStyle name="40% - Accent4 2 5 7 2" xfId="23865"/>
    <cellStyle name="40% - Accent4 2 5 8" xfId="21293"/>
    <cellStyle name="40% - Accent4 2 6" xfId="3977"/>
    <cellStyle name="40% - Accent4 2 6 2" xfId="3978"/>
    <cellStyle name="40% - Accent4 2 6 2 2" xfId="11119"/>
    <cellStyle name="40% - Accent4 2 6 2 2 2" xfId="25061"/>
    <cellStyle name="40% - Accent4 2 6 2 3" xfId="21303"/>
    <cellStyle name="40% - Accent4 2 6 3" xfId="3979"/>
    <cellStyle name="40% - Accent4 2 6 3 2" xfId="12894"/>
    <cellStyle name="40% - Accent4 2 6 3 2 2" xfId="26606"/>
    <cellStyle name="40% - Accent4 2 6 3 3" xfId="21304"/>
    <cellStyle name="40% - Accent4 2 6 4" xfId="3980"/>
    <cellStyle name="40% - Accent4 2 6 4 2" xfId="15309"/>
    <cellStyle name="40% - Accent4 2 6 4 2 2" xfId="28858"/>
    <cellStyle name="40% - Accent4 2 6 4 3" xfId="21305"/>
    <cellStyle name="40% - Accent4 2 6 5" xfId="3981"/>
    <cellStyle name="40% - Accent4 2 6 5 2" xfId="17126"/>
    <cellStyle name="40% - Accent4 2 6 5 2 2" xfId="30485"/>
    <cellStyle name="40% - Accent4 2 6 5 3" xfId="21306"/>
    <cellStyle name="40% - Accent4 2 6 6" xfId="9392"/>
    <cellStyle name="40% - Accent4 2 6 6 2" xfId="23867"/>
    <cellStyle name="40% - Accent4 2 6 7" xfId="21302"/>
    <cellStyle name="40% - Accent4 2 7" xfId="3982"/>
    <cellStyle name="40% - Accent4 2 7 2" xfId="3983"/>
    <cellStyle name="40% - Accent4 2 7 2 2" xfId="11120"/>
    <cellStyle name="40% - Accent4 2 7 2 2 2" xfId="25062"/>
    <cellStyle name="40% - Accent4 2 7 2 3" xfId="21308"/>
    <cellStyle name="40% - Accent4 2 7 3" xfId="3984"/>
    <cellStyle name="40% - Accent4 2 7 3 2" xfId="12895"/>
    <cellStyle name="40% - Accent4 2 7 3 2 2" xfId="26607"/>
    <cellStyle name="40% - Accent4 2 7 3 3" xfId="21309"/>
    <cellStyle name="40% - Accent4 2 7 4" xfId="3985"/>
    <cellStyle name="40% - Accent4 2 7 4 2" xfId="15310"/>
    <cellStyle name="40% - Accent4 2 7 4 2 2" xfId="28859"/>
    <cellStyle name="40% - Accent4 2 7 4 3" xfId="21310"/>
    <cellStyle name="40% - Accent4 2 7 5" xfId="3986"/>
    <cellStyle name="40% - Accent4 2 7 5 2" xfId="17215"/>
    <cellStyle name="40% - Accent4 2 7 5 2 2" xfId="30574"/>
    <cellStyle name="40% - Accent4 2 7 5 3" xfId="21311"/>
    <cellStyle name="40% - Accent4 2 7 6" xfId="9393"/>
    <cellStyle name="40% - Accent4 2 7 6 2" xfId="23868"/>
    <cellStyle name="40% - Accent4 2 7 7" xfId="21307"/>
    <cellStyle name="40% - Accent4 2 8" xfId="3987"/>
    <cellStyle name="40% - Accent4 2 8 2" xfId="3988"/>
    <cellStyle name="40% - Accent4 2 8 2 2" xfId="12896"/>
    <cellStyle name="40% - Accent4 2 8 2 2 2" xfId="26608"/>
    <cellStyle name="40% - Accent4 2 8 2 3" xfId="21313"/>
    <cellStyle name="40% - Accent4 2 8 3" xfId="3989"/>
    <cellStyle name="40% - Accent4 2 8 3 2" xfId="15311"/>
    <cellStyle name="40% - Accent4 2 8 3 2 2" xfId="28860"/>
    <cellStyle name="40% - Accent4 2 8 3 3" xfId="21314"/>
    <cellStyle name="40% - Accent4 2 8 4" xfId="3990"/>
    <cellStyle name="40% - Accent4 2 8 4 2" xfId="16490"/>
    <cellStyle name="40% - Accent4 2 8 4 2 2" xfId="29897"/>
    <cellStyle name="40% - Accent4 2 8 4 3" xfId="21315"/>
    <cellStyle name="40% - Accent4 2 8 5" xfId="10537"/>
    <cellStyle name="40% - Accent4 2 8 5 2" xfId="24479"/>
    <cellStyle name="40% - Accent4 2 8 6" xfId="21312"/>
    <cellStyle name="40% - Accent4 2 9" xfId="3991"/>
    <cellStyle name="40% - Accent4 2 9 2" xfId="3992"/>
    <cellStyle name="40% - Accent4 2 9 2 2" xfId="12897"/>
    <cellStyle name="40% - Accent4 2 9 2 2 2" xfId="26609"/>
    <cellStyle name="40% - Accent4 2 9 2 3" xfId="21317"/>
    <cellStyle name="40% - Accent4 2 9 3" xfId="3993"/>
    <cellStyle name="40% - Accent4 2 9 3 2" xfId="15312"/>
    <cellStyle name="40% - Accent4 2 9 3 2 2" xfId="28861"/>
    <cellStyle name="40% - Accent4 2 9 3 3" xfId="21318"/>
    <cellStyle name="40% - Accent4 2 9 4" xfId="11102"/>
    <cellStyle name="40% - Accent4 2 9 4 2" xfId="25044"/>
    <cellStyle name="40% - Accent4 2 9 5" xfId="21316"/>
    <cellStyle name="40% - Accent4 20" xfId="3994"/>
    <cellStyle name="40% - Accent4 20 2" xfId="3995"/>
    <cellStyle name="40% - Accent4 20 2 2" xfId="12898"/>
    <cellStyle name="40% - Accent4 20 2 2 2" xfId="26610"/>
    <cellStyle name="40% - Accent4 20 2 3" xfId="21320"/>
    <cellStyle name="40% - Accent4 20 3" xfId="3996"/>
    <cellStyle name="40% - Accent4 20 3 2" xfId="15313"/>
    <cellStyle name="40% - Accent4 20 3 2 2" xfId="28862"/>
    <cellStyle name="40% - Accent4 20 3 3" xfId="21321"/>
    <cellStyle name="40% - Accent4 20 4" xfId="10512"/>
    <cellStyle name="40% - Accent4 20 4 2" xfId="24460"/>
    <cellStyle name="40% - Accent4 20 5" xfId="21319"/>
    <cellStyle name="40% - Accent4 21" xfId="3997"/>
    <cellStyle name="40% - Accent4 21 2" xfId="3998"/>
    <cellStyle name="40% - Accent4 21 2 2" xfId="12899"/>
    <cellStyle name="40% - Accent4 21 2 2 2" xfId="26611"/>
    <cellStyle name="40% - Accent4 21 2 3" xfId="21323"/>
    <cellStyle name="40% - Accent4 21 3" xfId="3999"/>
    <cellStyle name="40% - Accent4 21 3 2" xfId="15314"/>
    <cellStyle name="40% - Accent4 21 3 2 2" xfId="28863"/>
    <cellStyle name="40% - Accent4 21 3 3" xfId="21324"/>
    <cellStyle name="40% - Accent4 21 4" xfId="11091"/>
    <cellStyle name="40% - Accent4 21 4 2" xfId="25033"/>
    <cellStyle name="40% - Accent4 21 5" xfId="21322"/>
    <cellStyle name="40% - Accent4 22" xfId="4000"/>
    <cellStyle name="40% - Accent4 22 2" xfId="11748"/>
    <cellStyle name="40% - Accent4 22 2 2" xfId="25463"/>
    <cellStyle name="40% - Accent4 22 3" xfId="21325"/>
    <cellStyle name="40% - Accent4 23" xfId="4001"/>
    <cellStyle name="40% - Accent4 23 2" xfId="12864"/>
    <cellStyle name="40% - Accent4 23 2 2" xfId="26576"/>
    <cellStyle name="40% - Accent4 23 3" xfId="21326"/>
    <cellStyle name="40% - Accent4 24" xfId="4002"/>
    <cellStyle name="40% - Accent4 24 2" xfId="13387"/>
    <cellStyle name="40% - Accent4 24 2 2" xfId="26936"/>
    <cellStyle name="40% - Accent4 24 3" xfId="21327"/>
    <cellStyle name="40% - Accent4 25" xfId="4003"/>
    <cellStyle name="40% - Accent4 25 2" xfId="13968"/>
    <cellStyle name="40% - Accent4 25 2 2" xfId="27517"/>
    <cellStyle name="40% - Accent4 25 3" xfId="21328"/>
    <cellStyle name="40% - Accent4 26" xfId="4004"/>
    <cellStyle name="40% - Accent4 26 2" xfId="15271"/>
    <cellStyle name="40% - Accent4 26 2 2" xfId="28820"/>
    <cellStyle name="40% - Accent4 26 3" xfId="21329"/>
    <cellStyle name="40% - Accent4 27" xfId="4005"/>
    <cellStyle name="40% - Accent4 27 2" xfId="15832"/>
    <cellStyle name="40% - Accent4 27 2 2" xfId="29239"/>
    <cellStyle name="40% - Accent4 27 3" xfId="21330"/>
    <cellStyle name="40% - Accent4 28" xfId="4006"/>
    <cellStyle name="40% - Accent4 28 2" xfId="15854"/>
    <cellStyle name="40% - Accent4 28 2 2" xfId="29261"/>
    <cellStyle name="40% - Accent4 28 3" xfId="21331"/>
    <cellStyle name="40% - Accent4 29" xfId="4007"/>
    <cellStyle name="40% - Accent4 29 2" xfId="9364"/>
    <cellStyle name="40% - Accent4 29 2 2" xfId="23839"/>
    <cellStyle name="40% - Accent4 29 3" xfId="21332"/>
    <cellStyle name="40% - Accent4 3" xfId="4008"/>
    <cellStyle name="40% - Accent4 3 10" xfId="4009"/>
    <cellStyle name="40% - Accent4 3 10 2" xfId="14046"/>
    <cellStyle name="40% - Accent4 3 10 2 2" xfId="27595"/>
    <cellStyle name="40% - Accent4 3 10 3" xfId="21334"/>
    <cellStyle name="40% - Accent4 3 11" xfId="4010"/>
    <cellStyle name="40% - Accent4 3 11 2" xfId="15315"/>
    <cellStyle name="40% - Accent4 3 11 2 2" xfId="28864"/>
    <cellStyle name="40% - Accent4 3 11 3" xfId="21335"/>
    <cellStyle name="40% - Accent4 3 12" xfId="4011"/>
    <cellStyle name="40% - Accent4 3 12 2" xfId="15932"/>
    <cellStyle name="40% - Accent4 3 12 2 2" xfId="29339"/>
    <cellStyle name="40% - Accent4 3 12 3" xfId="21336"/>
    <cellStyle name="40% - Accent4 3 13" xfId="9394"/>
    <cellStyle name="40% - Accent4 3 13 2" xfId="23869"/>
    <cellStyle name="40% - Accent4 3 14" xfId="21333"/>
    <cellStyle name="40% - Accent4 3 2" xfId="4012"/>
    <cellStyle name="40% - Accent4 3 2 10" xfId="4013"/>
    <cellStyle name="40% - Accent4 3 2 10 2" xfId="16075"/>
    <cellStyle name="40% - Accent4 3 2 10 2 2" xfId="29482"/>
    <cellStyle name="40% - Accent4 3 2 10 3" xfId="21338"/>
    <cellStyle name="40% - Accent4 3 2 11" xfId="9395"/>
    <cellStyle name="40% - Accent4 3 2 11 2" xfId="23870"/>
    <cellStyle name="40% - Accent4 3 2 12" xfId="21337"/>
    <cellStyle name="40% - Accent4 3 2 2" xfId="4014"/>
    <cellStyle name="40% - Accent4 3 2 2 10" xfId="9396"/>
    <cellStyle name="40% - Accent4 3 2 2 10 2" xfId="23871"/>
    <cellStyle name="40% - Accent4 3 2 2 11" xfId="21339"/>
    <cellStyle name="40% - Accent4 3 2 2 2" xfId="4015"/>
    <cellStyle name="40% - Accent4 3 2 2 2 2" xfId="4016"/>
    <cellStyle name="40% - Accent4 3 2 2 2 2 2" xfId="11124"/>
    <cellStyle name="40% - Accent4 3 2 2 2 2 2 2" xfId="25066"/>
    <cellStyle name="40% - Accent4 3 2 2 2 2 3" xfId="21341"/>
    <cellStyle name="40% - Accent4 3 2 2 2 3" xfId="4017"/>
    <cellStyle name="40% - Accent4 3 2 2 2 3 2" xfId="12903"/>
    <cellStyle name="40% - Accent4 3 2 2 2 3 2 2" xfId="26615"/>
    <cellStyle name="40% - Accent4 3 2 2 2 3 3" xfId="21342"/>
    <cellStyle name="40% - Accent4 3 2 2 2 4" xfId="4018"/>
    <cellStyle name="40% - Accent4 3 2 2 2 4 2" xfId="15318"/>
    <cellStyle name="40% - Accent4 3 2 2 2 4 2 2" xfId="28867"/>
    <cellStyle name="40% - Accent4 3 2 2 2 4 3" xfId="21343"/>
    <cellStyle name="40% - Accent4 3 2 2 2 5" xfId="4019"/>
    <cellStyle name="40% - Accent4 3 2 2 2 5 2" xfId="16945"/>
    <cellStyle name="40% - Accent4 3 2 2 2 5 2 2" xfId="30352"/>
    <cellStyle name="40% - Accent4 3 2 2 2 5 3" xfId="21344"/>
    <cellStyle name="40% - Accent4 3 2 2 2 6" xfId="9397"/>
    <cellStyle name="40% - Accent4 3 2 2 2 6 2" xfId="23872"/>
    <cellStyle name="40% - Accent4 3 2 2 2 7" xfId="21340"/>
    <cellStyle name="40% - Accent4 3 2 2 3" xfId="4020"/>
    <cellStyle name="40% - Accent4 3 2 2 3 2" xfId="4021"/>
    <cellStyle name="40% - Accent4 3 2 2 3 2 2" xfId="15319"/>
    <cellStyle name="40% - Accent4 3 2 2 3 2 2 2" xfId="28868"/>
    <cellStyle name="40% - Accent4 3 2 2 3 2 3" xfId="21346"/>
    <cellStyle name="40% - Accent4 3 2 2 3 3" xfId="11123"/>
    <cellStyle name="40% - Accent4 3 2 2 3 3 2" xfId="25065"/>
    <cellStyle name="40% - Accent4 3 2 2 3 4" xfId="21345"/>
    <cellStyle name="40% - Accent4 3 2 2 4" xfId="4022"/>
    <cellStyle name="40% - Accent4 3 2 2 4 2" xfId="12333"/>
    <cellStyle name="40% - Accent4 3 2 2 4 2 2" xfId="26045"/>
    <cellStyle name="40% - Accent4 3 2 2 4 3" xfId="21347"/>
    <cellStyle name="40% - Accent4 3 2 2 5" xfId="4023"/>
    <cellStyle name="40% - Accent4 3 2 2 5 2" xfId="12902"/>
    <cellStyle name="40% - Accent4 3 2 2 5 2 2" xfId="26614"/>
    <cellStyle name="40% - Accent4 3 2 2 5 3" xfId="21348"/>
    <cellStyle name="40% - Accent4 3 2 2 6" xfId="4024"/>
    <cellStyle name="40% - Accent4 3 2 2 6 2" xfId="13897"/>
    <cellStyle name="40% - Accent4 3 2 2 6 2 2" xfId="27446"/>
    <cellStyle name="40% - Accent4 3 2 2 6 3" xfId="21349"/>
    <cellStyle name="40% - Accent4 3 2 2 7" xfId="4025"/>
    <cellStyle name="40% - Accent4 3 2 2 7 2" xfId="14478"/>
    <cellStyle name="40% - Accent4 3 2 2 7 2 2" xfId="28027"/>
    <cellStyle name="40% - Accent4 3 2 2 7 3" xfId="21350"/>
    <cellStyle name="40% - Accent4 3 2 2 8" xfId="4026"/>
    <cellStyle name="40% - Accent4 3 2 2 8 2" xfId="15317"/>
    <cellStyle name="40% - Accent4 3 2 2 8 2 2" xfId="28866"/>
    <cellStyle name="40% - Accent4 3 2 2 8 3" xfId="21351"/>
    <cellStyle name="40% - Accent4 3 2 2 9" xfId="4027"/>
    <cellStyle name="40% - Accent4 3 2 2 9 2" xfId="16364"/>
    <cellStyle name="40% - Accent4 3 2 2 9 2 2" xfId="29771"/>
    <cellStyle name="40% - Accent4 3 2 2 9 3" xfId="21352"/>
    <cellStyle name="40% - Accent4 3 2 3" xfId="4028"/>
    <cellStyle name="40% - Accent4 3 2 3 2" xfId="4029"/>
    <cellStyle name="40% - Accent4 3 2 3 2 2" xfId="11125"/>
    <cellStyle name="40% - Accent4 3 2 3 2 2 2" xfId="25067"/>
    <cellStyle name="40% - Accent4 3 2 3 2 3" xfId="21354"/>
    <cellStyle name="40% - Accent4 3 2 3 3" xfId="4030"/>
    <cellStyle name="40% - Accent4 3 2 3 3 2" xfId="12904"/>
    <cellStyle name="40% - Accent4 3 2 3 3 2 2" xfId="26616"/>
    <cellStyle name="40% - Accent4 3 2 3 3 3" xfId="21355"/>
    <cellStyle name="40% - Accent4 3 2 3 4" xfId="4031"/>
    <cellStyle name="40% - Accent4 3 2 3 4 2" xfId="15320"/>
    <cellStyle name="40% - Accent4 3 2 3 4 2 2" xfId="28869"/>
    <cellStyle name="40% - Accent4 3 2 3 4 3" xfId="21356"/>
    <cellStyle name="40% - Accent4 3 2 3 5" xfId="4032"/>
    <cellStyle name="40% - Accent4 3 2 3 5 2" xfId="16656"/>
    <cellStyle name="40% - Accent4 3 2 3 5 2 2" xfId="30063"/>
    <cellStyle name="40% - Accent4 3 2 3 5 3" xfId="21357"/>
    <cellStyle name="40% - Accent4 3 2 3 6" xfId="9398"/>
    <cellStyle name="40% - Accent4 3 2 3 6 2" xfId="23873"/>
    <cellStyle name="40% - Accent4 3 2 3 7" xfId="21353"/>
    <cellStyle name="40% - Accent4 3 2 4" xfId="4033"/>
    <cellStyle name="40% - Accent4 3 2 4 2" xfId="4034"/>
    <cellStyle name="40% - Accent4 3 2 4 2 2" xfId="15321"/>
    <cellStyle name="40% - Accent4 3 2 4 2 2 2" xfId="28870"/>
    <cellStyle name="40% - Accent4 3 2 4 2 3" xfId="21359"/>
    <cellStyle name="40% - Accent4 3 2 4 3" xfId="11122"/>
    <cellStyle name="40% - Accent4 3 2 4 3 2" xfId="25064"/>
    <cellStyle name="40% - Accent4 3 2 4 4" xfId="21358"/>
    <cellStyle name="40% - Accent4 3 2 5" xfId="4035"/>
    <cellStyle name="40% - Accent4 3 2 5 2" xfId="12033"/>
    <cellStyle name="40% - Accent4 3 2 5 2 2" xfId="25748"/>
    <cellStyle name="40% - Accent4 3 2 5 3" xfId="21360"/>
    <cellStyle name="40% - Accent4 3 2 6" xfId="4036"/>
    <cellStyle name="40% - Accent4 3 2 6 2" xfId="12901"/>
    <cellStyle name="40% - Accent4 3 2 6 2 2" xfId="26613"/>
    <cellStyle name="40% - Accent4 3 2 6 3" xfId="21361"/>
    <cellStyle name="40% - Accent4 3 2 7" xfId="4037"/>
    <cellStyle name="40% - Accent4 3 2 7 2" xfId="13608"/>
    <cellStyle name="40% - Accent4 3 2 7 2 2" xfId="27157"/>
    <cellStyle name="40% - Accent4 3 2 7 3" xfId="21362"/>
    <cellStyle name="40% - Accent4 3 2 8" xfId="4038"/>
    <cellStyle name="40% - Accent4 3 2 8 2" xfId="14189"/>
    <cellStyle name="40% - Accent4 3 2 8 2 2" xfId="27738"/>
    <cellStyle name="40% - Accent4 3 2 8 3" xfId="21363"/>
    <cellStyle name="40% - Accent4 3 2 9" xfId="4039"/>
    <cellStyle name="40% - Accent4 3 2 9 2" xfId="15316"/>
    <cellStyle name="40% - Accent4 3 2 9 2 2" xfId="28865"/>
    <cellStyle name="40% - Accent4 3 2 9 3" xfId="21364"/>
    <cellStyle name="40% - Accent4 3 3" xfId="4040"/>
    <cellStyle name="40% - Accent4 3 3 10" xfId="9399"/>
    <cellStyle name="40% - Accent4 3 3 10 2" xfId="23874"/>
    <cellStyle name="40% - Accent4 3 3 11" xfId="21365"/>
    <cellStyle name="40% - Accent4 3 3 2" xfId="4041"/>
    <cellStyle name="40% - Accent4 3 3 2 2" xfId="4042"/>
    <cellStyle name="40% - Accent4 3 3 2 2 2" xfId="11127"/>
    <cellStyle name="40% - Accent4 3 3 2 2 2 2" xfId="25069"/>
    <cellStyle name="40% - Accent4 3 3 2 2 3" xfId="21367"/>
    <cellStyle name="40% - Accent4 3 3 2 3" xfId="4043"/>
    <cellStyle name="40% - Accent4 3 3 2 3 2" xfId="12906"/>
    <cellStyle name="40% - Accent4 3 3 2 3 2 2" xfId="26618"/>
    <cellStyle name="40% - Accent4 3 3 2 3 3" xfId="21368"/>
    <cellStyle name="40% - Accent4 3 3 2 4" xfId="4044"/>
    <cellStyle name="40% - Accent4 3 3 2 4 2" xfId="15323"/>
    <cellStyle name="40% - Accent4 3 3 2 4 2 2" xfId="28872"/>
    <cellStyle name="40% - Accent4 3 3 2 4 3" xfId="21369"/>
    <cellStyle name="40% - Accent4 3 3 2 5" xfId="4045"/>
    <cellStyle name="40% - Accent4 3 3 2 5 2" xfId="16802"/>
    <cellStyle name="40% - Accent4 3 3 2 5 2 2" xfId="30209"/>
    <cellStyle name="40% - Accent4 3 3 2 5 3" xfId="21370"/>
    <cellStyle name="40% - Accent4 3 3 2 6" xfId="9400"/>
    <cellStyle name="40% - Accent4 3 3 2 6 2" xfId="23875"/>
    <cellStyle name="40% - Accent4 3 3 2 7" xfId="21366"/>
    <cellStyle name="40% - Accent4 3 3 3" xfId="4046"/>
    <cellStyle name="40% - Accent4 3 3 3 2" xfId="4047"/>
    <cellStyle name="40% - Accent4 3 3 3 2 2" xfId="15324"/>
    <cellStyle name="40% - Accent4 3 3 3 2 2 2" xfId="28873"/>
    <cellStyle name="40% - Accent4 3 3 3 2 3" xfId="21372"/>
    <cellStyle name="40% - Accent4 3 3 3 3" xfId="11126"/>
    <cellStyle name="40% - Accent4 3 3 3 3 2" xfId="25068"/>
    <cellStyle name="40% - Accent4 3 3 3 4" xfId="21371"/>
    <cellStyle name="40% - Accent4 3 3 4" xfId="4048"/>
    <cellStyle name="40% - Accent4 3 3 4 2" xfId="12190"/>
    <cellStyle name="40% - Accent4 3 3 4 2 2" xfId="25902"/>
    <cellStyle name="40% - Accent4 3 3 4 3" xfId="21373"/>
    <cellStyle name="40% - Accent4 3 3 5" xfId="4049"/>
    <cellStyle name="40% - Accent4 3 3 5 2" xfId="12905"/>
    <cellStyle name="40% - Accent4 3 3 5 2 2" xfId="26617"/>
    <cellStyle name="40% - Accent4 3 3 5 3" xfId="21374"/>
    <cellStyle name="40% - Accent4 3 3 6" xfId="4050"/>
    <cellStyle name="40% - Accent4 3 3 6 2" xfId="13754"/>
    <cellStyle name="40% - Accent4 3 3 6 2 2" xfId="27303"/>
    <cellStyle name="40% - Accent4 3 3 6 3" xfId="21375"/>
    <cellStyle name="40% - Accent4 3 3 7" xfId="4051"/>
    <cellStyle name="40% - Accent4 3 3 7 2" xfId="14335"/>
    <cellStyle name="40% - Accent4 3 3 7 2 2" xfId="27884"/>
    <cellStyle name="40% - Accent4 3 3 7 3" xfId="21376"/>
    <cellStyle name="40% - Accent4 3 3 8" xfId="4052"/>
    <cellStyle name="40% - Accent4 3 3 8 2" xfId="15322"/>
    <cellStyle name="40% - Accent4 3 3 8 2 2" xfId="28871"/>
    <cellStyle name="40% - Accent4 3 3 8 3" xfId="21377"/>
    <cellStyle name="40% - Accent4 3 3 9" xfId="4053"/>
    <cellStyle name="40% - Accent4 3 3 9 2" xfId="16221"/>
    <cellStyle name="40% - Accent4 3 3 9 2 2" xfId="29628"/>
    <cellStyle name="40% - Accent4 3 3 9 3" xfId="21378"/>
    <cellStyle name="40% - Accent4 3 4" xfId="4054"/>
    <cellStyle name="40% - Accent4 3 4 2" xfId="4055"/>
    <cellStyle name="40% - Accent4 3 4 2 2" xfId="11128"/>
    <cellStyle name="40% - Accent4 3 4 2 2 2" xfId="25070"/>
    <cellStyle name="40% - Accent4 3 4 2 3" xfId="21380"/>
    <cellStyle name="40% - Accent4 3 4 3" xfId="4056"/>
    <cellStyle name="40% - Accent4 3 4 3 2" xfId="12907"/>
    <cellStyle name="40% - Accent4 3 4 3 2 2" xfId="26619"/>
    <cellStyle name="40% - Accent4 3 4 3 3" xfId="21381"/>
    <cellStyle name="40% - Accent4 3 4 4" xfId="4057"/>
    <cellStyle name="40% - Accent4 3 4 4 2" xfId="15325"/>
    <cellStyle name="40% - Accent4 3 4 4 2 2" xfId="28874"/>
    <cellStyle name="40% - Accent4 3 4 4 3" xfId="21382"/>
    <cellStyle name="40% - Accent4 3 4 5" xfId="4058"/>
    <cellStyle name="40% - Accent4 3 4 5 2" xfId="17149"/>
    <cellStyle name="40% - Accent4 3 4 5 2 2" xfId="30508"/>
    <cellStyle name="40% - Accent4 3 4 5 3" xfId="21383"/>
    <cellStyle name="40% - Accent4 3 4 6" xfId="9401"/>
    <cellStyle name="40% - Accent4 3 4 6 2" xfId="23876"/>
    <cellStyle name="40% - Accent4 3 4 7" xfId="21379"/>
    <cellStyle name="40% - Accent4 3 5" xfId="4059"/>
    <cellStyle name="40% - Accent4 3 5 2" xfId="4060"/>
    <cellStyle name="40% - Accent4 3 5 2 2" xfId="11129"/>
    <cellStyle name="40% - Accent4 3 5 2 2 2" xfId="25071"/>
    <cellStyle name="40% - Accent4 3 5 2 3" xfId="21385"/>
    <cellStyle name="40% - Accent4 3 5 3" xfId="4061"/>
    <cellStyle name="40% - Accent4 3 5 3 2" xfId="12908"/>
    <cellStyle name="40% - Accent4 3 5 3 2 2" xfId="26620"/>
    <cellStyle name="40% - Accent4 3 5 3 3" xfId="21386"/>
    <cellStyle name="40% - Accent4 3 5 4" xfId="4062"/>
    <cellStyle name="40% - Accent4 3 5 4 2" xfId="15326"/>
    <cellStyle name="40% - Accent4 3 5 4 2 2" xfId="28875"/>
    <cellStyle name="40% - Accent4 3 5 4 3" xfId="21387"/>
    <cellStyle name="40% - Accent4 3 5 5" xfId="4063"/>
    <cellStyle name="40% - Accent4 3 5 5 2" xfId="17238"/>
    <cellStyle name="40% - Accent4 3 5 5 2 2" xfId="30597"/>
    <cellStyle name="40% - Accent4 3 5 5 3" xfId="21388"/>
    <cellStyle name="40% - Accent4 3 5 6" xfId="9402"/>
    <cellStyle name="40% - Accent4 3 5 6 2" xfId="23877"/>
    <cellStyle name="40% - Accent4 3 5 7" xfId="21384"/>
    <cellStyle name="40% - Accent4 3 6" xfId="4064"/>
    <cellStyle name="40% - Accent4 3 6 2" xfId="4065"/>
    <cellStyle name="40% - Accent4 3 6 2 2" xfId="15327"/>
    <cellStyle name="40% - Accent4 3 6 2 2 2" xfId="28876"/>
    <cellStyle name="40% - Accent4 3 6 2 3" xfId="21390"/>
    <cellStyle name="40% - Accent4 3 6 3" xfId="4066"/>
    <cellStyle name="40% - Accent4 3 6 3 2" xfId="16513"/>
    <cellStyle name="40% - Accent4 3 6 3 2 2" xfId="29920"/>
    <cellStyle name="40% - Accent4 3 6 3 3" xfId="21391"/>
    <cellStyle name="40% - Accent4 3 6 4" xfId="11121"/>
    <cellStyle name="40% - Accent4 3 6 4 2" xfId="25063"/>
    <cellStyle name="40% - Accent4 3 6 5" xfId="21389"/>
    <cellStyle name="40% - Accent4 3 7" xfId="4067"/>
    <cellStyle name="40% - Accent4 3 7 2" xfId="11885"/>
    <cellStyle name="40% - Accent4 3 7 2 2" xfId="25600"/>
    <cellStyle name="40% - Accent4 3 7 3" xfId="21392"/>
    <cellStyle name="40% - Accent4 3 8" xfId="4068"/>
    <cellStyle name="40% - Accent4 3 8 2" xfId="12900"/>
    <cellStyle name="40% - Accent4 3 8 2 2" xfId="26612"/>
    <cellStyle name="40% - Accent4 3 8 3" xfId="21393"/>
    <cellStyle name="40% - Accent4 3 9" xfId="4069"/>
    <cellStyle name="40% - Accent4 3 9 2" xfId="13465"/>
    <cellStyle name="40% - Accent4 3 9 2 2" xfId="27014"/>
    <cellStyle name="40% - Accent4 3 9 3" xfId="21394"/>
    <cellStyle name="40% - Accent4 30" xfId="23258"/>
    <cellStyle name="40% - Accent4 4" xfId="4070"/>
    <cellStyle name="40% - Accent4 4 10" xfId="4071"/>
    <cellStyle name="40% - Accent4 4 10 2" xfId="15328"/>
    <cellStyle name="40% - Accent4 4 10 2 2" xfId="28877"/>
    <cellStyle name="40% - Accent4 4 10 3" xfId="21396"/>
    <cellStyle name="40% - Accent4 4 11" xfId="4072"/>
    <cellStyle name="40% - Accent4 4 11 2" xfId="15888"/>
    <cellStyle name="40% - Accent4 4 11 2 2" xfId="29295"/>
    <cellStyle name="40% - Accent4 4 11 3" xfId="21397"/>
    <cellStyle name="40% - Accent4 4 12" xfId="9403"/>
    <cellStyle name="40% - Accent4 4 12 2" xfId="23878"/>
    <cellStyle name="40% - Accent4 4 13" xfId="21395"/>
    <cellStyle name="40% - Accent4 4 2" xfId="4073"/>
    <cellStyle name="40% - Accent4 4 2 10" xfId="4074"/>
    <cellStyle name="40% - Accent4 4 2 10 2" xfId="16031"/>
    <cellStyle name="40% - Accent4 4 2 10 2 2" xfId="29438"/>
    <cellStyle name="40% - Accent4 4 2 10 3" xfId="21399"/>
    <cellStyle name="40% - Accent4 4 2 11" xfId="9404"/>
    <cellStyle name="40% - Accent4 4 2 11 2" xfId="23879"/>
    <cellStyle name="40% - Accent4 4 2 12" xfId="21398"/>
    <cellStyle name="40% - Accent4 4 2 2" xfId="4075"/>
    <cellStyle name="40% - Accent4 4 2 2 10" xfId="9405"/>
    <cellStyle name="40% - Accent4 4 2 2 10 2" xfId="23880"/>
    <cellStyle name="40% - Accent4 4 2 2 11" xfId="21400"/>
    <cellStyle name="40% - Accent4 4 2 2 2" xfId="4076"/>
    <cellStyle name="40% - Accent4 4 2 2 2 2" xfId="4077"/>
    <cellStyle name="40% - Accent4 4 2 2 2 2 2" xfId="11133"/>
    <cellStyle name="40% - Accent4 4 2 2 2 2 2 2" xfId="25075"/>
    <cellStyle name="40% - Accent4 4 2 2 2 2 3" xfId="23200"/>
    <cellStyle name="40% - Accent4 4 2 2 2 3" xfId="4078"/>
    <cellStyle name="40% - Accent4 4 2 2 2 3 2" xfId="12912"/>
    <cellStyle name="40% - Accent4 4 2 2 2 3 2 2" xfId="26624"/>
    <cellStyle name="40% - Accent4 4 2 2 2 3 3" xfId="24315"/>
    <cellStyle name="40% - Accent4 4 2 2 2 4" xfId="4079"/>
    <cellStyle name="40% - Accent4 4 2 2 2 4 2" xfId="15331"/>
    <cellStyle name="40% - Accent4 4 2 2 2 4 2 2" xfId="28880"/>
    <cellStyle name="40% - Accent4 4 2 2 2 4 3" xfId="23199"/>
    <cellStyle name="40% - Accent4 4 2 2 2 5" xfId="4080"/>
    <cellStyle name="40% - Accent4 4 2 2 2 5 2" xfId="16901"/>
    <cellStyle name="40% - Accent4 4 2 2 2 5 2 2" xfId="30308"/>
    <cellStyle name="40% - Accent4 4 2 2 2 5 3" xfId="23198"/>
    <cellStyle name="40% - Accent4 4 2 2 2 6" xfId="9406"/>
    <cellStyle name="40% - Accent4 4 2 2 2 6 2" xfId="23881"/>
    <cellStyle name="40% - Accent4 4 2 2 2 7" xfId="21401"/>
    <cellStyle name="40% - Accent4 4 2 2 3" xfId="4081"/>
    <cellStyle name="40% - Accent4 4 2 2 3 2" xfId="4082"/>
    <cellStyle name="40% - Accent4 4 2 2 3 2 2" xfId="15332"/>
    <cellStyle name="40% - Accent4 4 2 2 3 2 2 2" xfId="28881"/>
    <cellStyle name="40% - Accent4 4 2 2 3 2 3" xfId="23197"/>
    <cellStyle name="40% - Accent4 4 2 2 3 3" xfId="11132"/>
    <cellStyle name="40% - Accent4 4 2 2 3 3 2" xfId="25074"/>
    <cellStyle name="40% - Accent4 4 2 2 3 4" xfId="26876"/>
    <cellStyle name="40% - Accent4 4 2 2 4" xfId="4083"/>
    <cellStyle name="40% - Accent4 4 2 2 4 2" xfId="12289"/>
    <cellStyle name="40% - Accent4 4 2 2 4 2 2" xfId="26001"/>
    <cellStyle name="40% - Accent4 4 2 2 4 3" xfId="23196"/>
    <cellStyle name="40% - Accent4 4 2 2 5" xfId="4084"/>
    <cellStyle name="40% - Accent4 4 2 2 5 2" xfId="12911"/>
    <cellStyle name="40% - Accent4 4 2 2 5 2 2" xfId="26623"/>
    <cellStyle name="40% - Accent4 4 2 2 5 3" xfId="24314"/>
    <cellStyle name="40% - Accent4 4 2 2 6" xfId="4085"/>
    <cellStyle name="40% - Accent4 4 2 2 6 2" xfId="13853"/>
    <cellStyle name="40% - Accent4 4 2 2 6 2 2" xfId="27402"/>
    <cellStyle name="40% - Accent4 4 2 2 6 3" xfId="23195"/>
    <cellStyle name="40% - Accent4 4 2 2 7" xfId="4086"/>
    <cellStyle name="40% - Accent4 4 2 2 7 2" xfId="14434"/>
    <cellStyle name="40% - Accent4 4 2 2 7 2 2" xfId="27983"/>
    <cellStyle name="40% - Accent4 4 2 2 7 3" xfId="26874"/>
    <cellStyle name="40% - Accent4 4 2 2 8" xfId="4087"/>
    <cellStyle name="40% - Accent4 4 2 2 8 2" xfId="15330"/>
    <cellStyle name="40% - Accent4 4 2 2 8 2 2" xfId="28879"/>
    <cellStyle name="40% - Accent4 4 2 2 8 3" xfId="23194"/>
    <cellStyle name="40% - Accent4 4 2 2 9" xfId="4088"/>
    <cellStyle name="40% - Accent4 4 2 2 9 2" xfId="16320"/>
    <cellStyle name="40% - Accent4 4 2 2 9 2 2" xfId="29727"/>
    <cellStyle name="40% - Accent4 4 2 2 9 3" xfId="23193"/>
    <cellStyle name="40% - Accent4 4 2 3" xfId="4089"/>
    <cellStyle name="40% - Accent4 4 2 3 2" xfId="4090"/>
    <cellStyle name="40% - Accent4 4 2 3 2 2" xfId="11134"/>
    <cellStyle name="40% - Accent4 4 2 3 2 2 2" xfId="25076"/>
    <cellStyle name="40% - Accent4 4 2 3 2 3" xfId="23192"/>
    <cellStyle name="40% - Accent4 4 2 3 3" xfId="4091"/>
    <cellStyle name="40% - Accent4 4 2 3 3 2" xfId="12913"/>
    <cellStyle name="40% - Accent4 4 2 3 3 2 2" xfId="26625"/>
    <cellStyle name="40% - Accent4 4 2 3 3 3" xfId="23191"/>
    <cellStyle name="40% - Accent4 4 2 3 4" xfId="4092"/>
    <cellStyle name="40% - Accent4 4 2 3 4 2" xfId="15333"/>
    <cellStyle name="40% - Accent4 4 2 3 4 2 2" xfId="28882"/>
    <cellStyle name="40% - Accent4 4 2 3 4 3" xfId="30656"/>
    <cellStyle name="40% - Accent4 4 2 3 5" xfId="4093"/>
    <cellStyle name="40% - Accent4 4 2 3 5 2" xfId="16612"/>
    <cellStyle name="40% - Accent4 4 2 3 5 2 2" xfId="30019"/>
    <cellStyle name="40% - Accent4 4 2 3 5 3" xfId="24311"/>
    <cellStyle name="40% - Accent4 4 2 3 6" xfId="9407"/>
    <cellStyle name="40% - Accent4 4 2 3 6 2" xfId="23882"/>
    <cellStyle name="40% - Accent4 4 2 3 7" xfId="24313"/>
    <cellStyle name="40% - Accent4 4 2 4" xfId="4094"/>
    <cellStyle name="40% - Accent4 4 2 4 2" xfId="4095"/>
    <cellStyle name="40% - Accent4 4 2 4 2 2" xfId="15334"/>
    <cellStyle name="40% - Accent4 4 2 4 2 2 2" xfId="28883"/>
    <cellStyle name="40% - Accent4 4 2 4 2 3" xfId="24464"/>
    <cellStyle name="40% - Accent4 4 2 4 3" xfId="11131"/>
    <cellStyle name="40% - Accent4 4 2 4 3 2" xfId="25073"/>
    <cellStyle name="40% - Accent4 4 2 4 4" xfId="23202"/>
    <cellStyle name="40% - Accent4 4 2 5" xfId="4096"/>
    <cellStyle name="40% - Accent4 4 2 5 2" xfId="11989"/>
    <cellStyle name="40% - Accent4 4 2 5 2 2" xfId="25704"/>
    <cellStyle name="40% - Accent4 4 2 5 3" xfId="23240"/>
    <cellStyle name="40% - Accent4 4 2 6" xfId="4097"/>
    <cellStyle name="40% - Accent4 4 2 6 2" xfId="12910"/>
    <cellStyle name="40% - Accent4 4 2 6 2 2" xfId="26622"/>
    <cellStyle name="40% - Accent4 4 2 6 3" xfId="30685"/>
    <cellStyle name="40% - Accent4 4 2 7" xfId="4098"/>
    <cellStyle name="40% - Accent4 4 2 7 2" xfId="13564"/>
    <cellStyle name="40% - Accent4 4 2 7 2 2" xfId="27113"/>
    <cellStyle name="40% - Accent4 4 2 7 3" xfId="23190"/>
    <cellStyle name="40% - Accent4 4 2 8" xfId="4099"/>
    <cellStyle name="40% - Accent4 4 2 8 2" xfId="14145"/>
    <cellStyle name="40% - Accent4 4 2 8 2 2" xfId="27694"/>
    <cellStyle name="40% - Accent4 4 2 8 3" xfId="23189"/>
    <cellStyle name="40% - Accent4 4 2 9" xfId="4100"/>
    <cellStyle name="40% - Accent4 4 2 9 2" xfId="15329"/>
    <cellStyle name="40% - Accent4 4 2 9 2 2" xfId="28878"/>
    <cellStyle name="40% - Accent4 4 2 9 3" xfId="26873"/>
    <cellStyle name="40% - Accent4 4 3" xfId="4101"/>
    <cellStyle name="40% - Accent4 4 3 10" xfId="9408"/>
    <cellStyle name="40% - Accent4 4 3 10 2" xfId="23883"/>
    <cellStyle name="40% - Accent4 4 3 11" xfId="23188"/>
    <cellStyle name="40% - Accent4 4 3 2" xfId="4102"/>
    <cellStyle name="40% - Accent4 4 3 2 2" xfId="4103"/>
    <cellStyle name="40% - Accent4 4 3 2 2 2" xfId="11136"/>
    <cellStyle name="40% - Accent4 4 3 2 2 2 2" xfId="25078"/>
    <cellStyle name="40% - Accent4 4 3 2 2 3" xfId="23209"/>
    <cellStyle name="40% - Accent4 4 3 2 3" xfId="4104"/>
    <cellStyle name="40% - Accent4 4 3 2 3 2" xfId="12915"/>
    <cellStyle name="40% - Accent4 4 3 2 3 2 2" xfId="26627"/>
    <cellStyle name="40% - Accent4 4 3 2 3 3" xfId="23186"/>
    <cellStyle name="40% - Accent4 4 3 2 4" xfId="4105"/>
    <cellStyle name="40% - Accent4 4 3 2 4 2" xfId="15336"/>
    <cellStyle name="40% - Accent4 4 3 2 4 2 2" xfId="28885"/>
    <cellStyle name="40% - Accent4 4 3 2 4 3" xfId="26872"/>
    <cellStyle name="40% - Accent4 4 3 2 5" xfId="4106"/>
    <cellStyle name="40% - Accent4 4 3 2 5 2" xfId="16761"/>
    <cellStyle name="40% - Accent4 4 3 2 5 2 2" xfId="30168"/>
    <cellStyle name="40% - Accent4 4 3 2 5 3" xfId="23185"/>
    <cellStyle name="40% - Accent4 4 3 2 6" xfId="9409"/>
    <cellStyle name="40% - Accent4 4 3 2 6 2" xfId="23884"/>
    <cellStyle name="40% - Accent4 4 3 2 7" xfId="23187"/>
    <cellStyle name="40% - Accent4 4 3 3" xfId="4107"/>
    <cellStyle name="40% - Accent4 4 3 3 2" xfId="4108"/>
    <cellStyle name="40% - Accent4 4 3 3 2 2" xfId="15337"/>
    <cellStyle name="40% - Accent4 4 3 3 2 2 2" xfId="28886"/>
    <cellStyle name="40% - Accent4 4 3 3 2 3" xfId="23184"/>
    <cellStyle name="40% - Accent4 4 3 3 3" xfId="11135"/>
    <cellStyle name="40% - Accent4 4 3 3 3 2" xfId="25077"/>
    <cellStyle name="40% - Accent4 4 3 3 4" xfId="24312"/>
    <cellStyle name="40% - Accent4 4 3 4" xfId="4109"/>
    <cellStyle name="40% - Accent4 4 3 4 2" xfId="12149"/>
    <cellStyle name="40% - Accent4 4 3 4 2 2" xfId="25861"/>
    <cellStyle name="40% - Accent4 4 3 4 3" xfId="23183"/>
    <cellStyle name="40% - Accent4 4 3 5" xfId="4110"/>
    <cellStyle name="40% - Accent4 4 3 5 2" xfId="12914"/>
    <cellStyle name="40% - Accent4 4 3 5 2 2" xfId="26626"/>
    <cellStyle name="40% - Accent4 4 3 5 3" xfId="23182"/>
    <cellStyle name="40% - Accent4 4 3 6" xfId="4111"/>
    <cellStyle name="40% - Accent4 4 3 6 2" xfId="13713"/>
    <cellStyle name="40% - Accent4 4 3 6 2 2" xfId="27262"/>
    <cellStyle name="40% - Accent4 4 3 6 3" xfId="26871"/>
    <cellStyle name="40% - Accent4 4 3 7" xfId="4112"/>
    <cellStyle name="40% - Accent4 4 3 7 2" xfId="14294"/>
    <cellStyle name="40% - Accent4 4 3 7 2 2" xfId="27843"/>
    <cellStyle name="40% - Accent4 4 3 7 3" xfId="23181"/>
    <cellStyle name="40% - Accent4 4 3 8" xfId="4113"/>
    <cellStyle name="40% - Accent4 4 3 8 2" xfId="15335"/>
    <cellStyle name="40% - Accent4 4 3 8 2 2" xfId="28884"/>
    <cellStyle name="40% - Accent4 4 3 8 3" xfId="24309"/>
    <cellStyle name="40% - Accent4 4 3 9" xfId="4114"/>
    <cellStyle name="40% - Accent4 4 3 9 2" xfId="16180"/>
    <cellStyle name="40% - Accent4 4 3 9 2 2" xfId="29587"/>
    <cellStyle name="40% - Accent4 4 3 9 3" xfId="26870"/>
    <cellStyle name="40% - Accent4 4 4" xfId="4115"/>
    <cellStyle name="40% - Accent4 4 4 2" xfId="4116"/>
    <cellStyle name="40% - Accent4 4 4 2 2" xfId="11137"/>
    <cellStyle name="40% - Accent4 4 4 2 2 2" xfId="25079"/>
    <cellStyle name="40% - Accent4 4 4 2 3" xfId="24310"/>
    <cellStyle name="40% - Accent4 4 4 3" xfId="4117"/>
    <cellStyle name="40% - Accent4 4 4 3 2" xfId="12916"/>
    <cellStyle name="40% - Accent4 4 4 3 2 2" xfId="26628"/>
    <cellStyle name="40% - Accent4 4 4 3 3" xfId="23179"/>
    <cellStyle name="40% - Accent4 4 4 4" xfId="4118"/>
    <cellStyle name="40% - Accent4 4 4 4 2" xfId="15338"/>
    <cellStyle name="40% - Accent4 4 4 4 2 2" xfId="28887"/>
    <cellStyle name="40% - Accent4 4 4 4 3" xfId="23178"/>
    <cellStyle name="40% - Accent4 4 4 5" xfId="4119"/>
    <cellStyle name="40% - Accent4 4 4 5 2" xfId="16469"/>
    <cellStyle name="40% - Accent4 4 4 5 2 2" xfId="29876"/>
    <cellStyle name="40% - Accent4 4 4 5 3" xfId="24308"/>
    <cellStyle name="40% - Accent4 4 4 6" xfId="9410"/>
    <cellStyle name="40% - Accent4 4 4 6 2" xfId="23885"/>
    <cellStyle name="40% - Accent4 4 4 7" xfId="23180"/>
    <cellStyle name="40% - Accent4 4 5" xfId="4120"/>
    <cellStyle name="40% - Accent4 4 5 2" xfId="4121"/>
    <cellStyle name="40% - Accent4 4 5 2 2" xfId="15339"/>
    <cellStyle name="40% - Accent4 4 5 2 2 2" xfId="28888"/>
    <cellStyle name="40% - Accent4 4 5 2 3" xfId="23205"/>
    <cellStyle name="40% - Accent4 4 5 3" xfId="11130"/>
    <cellStyle name="40% - Accent4 4 5 3 2" xfId="25072"/>
    <cellStyle name="40% - Accent4 4 5 4" xfId="23177"/>
    <cellStyle name="40% - Accent4 4 6" xfId="4122"/>
    <cellStyle name="40% - Accent4 4 6 2" xfId="11820"/>
    <cellStyle name="40% - Accent4 4 6 2 2" xfId="25535"/>
    <cellStyle name="40% - Accent4 4 6 3" xfId="24307"/>
    <cellStyle name="40% - Accent4 4 7" xfId="4123"/>
    <cellStyle name="40% - Accent4 4 7 2" xfId="12909"/>
    <cellStyle name="40% - Accent4 4 7 2 2" xfId="26621"/>
    <cellStyle name="40% - Accent4 4 7 3" xfId="30654"/>
    <cellStyle name="40% - Accent4 4 8" xfId="4124"/>
    <cellStyle name="40% - Accent4 4 8 2" xfId="13421"/>
    <cellStyle name="40% - Accent4 4 8 2 2" xfId="26970"/>
    <cellStyle name="40% - Accent4 4 8 3" xfId="30684"/>
    <cellStyle name="40% - Accent4 4 9" xfId="4125"/>
    <cellStyle name="40% - Accent4 4 9 2" xfId="14002"/>
    <cellStyle name="40% - Accent4 4 9 2 2" xfId="27551"/>
    <cellStyle name="40% - Accent4 4 9 3" xfId="23239"/>
    <cellStyle name="40% - Accent4 5" xfId="4126"/>
    <cellStyle name="40% - Accent4 5 10" xfId="4127"/>
    <cellStyle name="40% - Accent4 5 10 2" xfId="15340"/>
    <cellStyle name="40% - Accent4 5 10 2 2" xfId="28889"/>
    <cellStyle name="40% - Accent4 5 10 3" xfId="23207"/>
    <cellStyle name="40% - Accent4 5 11" xfId="4128"/>
    <cellStyle name="40% - Accent4 5 11 2" xfId="15871"/>
    <cellStyle name="40% - Accent4 5 11 2 2" xfId="29278"/>
    <cellStyle name="40% - Accent4 5 11 3" xfId="30431"/>
    <cellStyle name="40% - Accent4 5 12" xfId="9411"/>
    <cellStyle name="40% - Accent4 5 12 2" xfId="23886"/>
    <cellStyle name="40% - Accent4 5 13" xfId="23176"/>
    <cellStyle name="40% - Accent4 5 2" xfId="4129"/>
    <cellStyle name="40% - Accent4 5 2 10" xfId="4130"/>
    <cellStyle name="40% - Accent4 5 2 10 2" xfId="16014"/>
    <cellStyle name="40% - Accent4 5 2 10 2 2" xfId="29421"/>
    <cellStyle name="40% - Accent4 5 2 10 3" xfId="23174"/>
    <cellStyle name="40% - Accent4 5 2 11" xfId="9412"/>
    <cellStyle name="40% - Accent4 5 2 11 2" xfId="23887"/>
    <cellStyle name="40% - Accent4 5 2 12" xfId="23175"/>
    <cellStyle name="40% - Accent4 5 2 2" xfId="4131"/>
    <cellStyle name="40% - Accent4 5 2 2 10" xfId="9413"/>
    <cellStyle name="40% - Accent4 5 2 2 10 2" xfId="23888"/>
    <cellStyle name="40% - Accent4 5 2 2 11" xfId="23173"/>
    <cellStyle name="40% - Accent4 5 2 2 2" xfId="4132"/>
    <cellStyle name="40% - Accent4 5 2 2 2 2" xfId="4133"/>
    <cellStyle name="40% - Accent4 5 2 2 2 2 2" xfId="11141"/>
    <cellStyle name="40% - Accent4 5 2 2 2 2 2 2" xfId="25083"/>
    <cellStyle name="40% - Accent4 5 2 2 2 2 3" xfId="26869"/>
    <cellStyle name="40% - Accent4 5 2 2 2 3" xfId="4134"/>
    <cellStyle name="40% - Accent4 5 2 2 2 3 2" xfId="12920"/>
    <cellStyle name="40% - Accent4 5 2 2 2 3 2 2" xfId="26632"/>
    <cellStyle name="40% - Accent4 5 2 2 2 3 3" xfId="23172"/>
    <cellStyle name="40% - Accent4 5 2 2 2 4" xfId="4135"/>
    <cellStyle name="40% - Accent4 5 2 2 2 4 2" xfId="15343"/>
    <cellStyle name="40% - Accent4 5 2 2 2 4 2 2" xfId="28892"/>
    <cellStyle name="40% - Accent4 5 2 2 2 4 3" xfId="25297"/>
    <cellStyle name="40% - Accent4 5 2 2 2 5" xfId="4136"/>
    <cellStyle name="40% - Accent4 5 2 2 2 5 2" xfId="16884"/>
    <cellStyle name="40% - Accent4 5 2 2 2 5 2 2" xfId="30291"/>
    <cellStyle name="40% - Accent4 5 2 2 2 5 3" xfId="23171"/>
    <cellStyle name="40% - Accent4 5 2 2 2 6" xfId="9414"/>
    <cellStyle name="40% - Accent4 5 2 2 2 6 2" xfId="23889"/>
    <cellStyle name="40% - Accent4 5 2 2 2 7" xfId="24305"/>
    <cellStyle name="40% - Accent4 5 2 2 3" xfId="4137"/>
    <cellStyle name="40% - Accent4 5 2 2 3 2" xfId="4138"/>
    <cellStyle name="40% - Accent4 5 2 2 3 2 2" xfId="15344"/>
    <cellStyle name="40% - Accent4 5 2 2 3 2 2 2" xfId="28893"/>
    <cellStyle name="40% - Accent4 5 2 2 3 2 3" xfId="25298"/>
    <cellStyle name="40% - Accent4 5 2 2 3 3" xfId="11140"/>
    <cellStyle name="40% - Accent4 5 2 2 3 3 2" xfId="25082"/>
    <cellStyle name="40% - Accent4 5 2 2 3 4" xfId="24306"/>
    <cellStyle name="40% - Accent4 5 2 2 4" xfId="4139"/>
    <cellStyle name="40% - Accent4 5 2 2 4 2" xfId="12272"/>
    <cellStyle name="40% - Accent4 5 2 2 4 2 2" xfId="25984"/>
    <cellStyle name="40% - Accent4 5 2 2 4 3" xfId="23170"/>
    <cellStyle name="40% - Accent4 5 2 2 5" xfId="4140"/>
    <cellStyle name="40% - Accent4 5 2 2 5 2" xfId="12919"/>
    <cellStyle name="40% - Accent4 5 2 2 5 2 2" xfId="26631"/>
    <cellStyle name="40% - Accent4 5 2 2 5 3" xfId="23169"/>
    <cellStyle name="40% - Accent4 5 2 2 6" xfId="4141"/>
    <cellStyle name="40% - Accent4 5 2 2 6 2" xfId="13836"/>
    <cellStyle name="40% - Accent4 5 2 2 6 2 2" xfId="27385"/>
    <cellStyle name="40% - Accent4 5 2 2 6 3" xfId="23168"/>
    <cellStyle name="40% - Accent4 5 2 2 7" xfId="4142"/>
    <cellStyle name="40% - Accent4 5 2 2 7 2" xfId="14417"/>
    <cellStyle name="40% - Accent4 5 2 2 7 2 2" xfId="27966"/>
    <cellStyle name="40% - Accent4 5 2 2 7 3" xfId="24303"/>
    <cellStyle name="40% - Accent4 5 2 2 8" xfId="4143"/>
    <cellStyle name="40% - Accent4 5 2 2 8 2" xfId="15342"/>
    <cellStyle name="40% - Accent4 5 2 2 8 2 2" xfId="28891"/>
    <cellStyle name="40% - Accent4 5 2 2 8 3" xfId="26868"/>
    <cellStyle name="40% - Accent4 5 2 2 9" xfId="4144"/>
    <cellStyle name="40% - Accent4 5 2 2 9 2" xfId="16303"/>
    <cellStyle name="40% - Accent4 5 2 2 9 2 2" xfId="29710"/>
    <cellStyle name="40% - Accent4 5 2 2 9 3" xfId="23167"/>
    <cellStyle name="40% - Accent4 5 2 3" xfId="4145"/>
    <cellStyle name="40% - Accent4 5 2 3 2" xfId="4146"/>
    <cellStyle name="40% - Accent4 5 2 3 2 2" xfId="11142"/>
    <cellStyle name="40% - Accent4 5 2 3 2 2 2" xfId="25084"/>
    <cellStyle name="40% - Accent4 5 2 3 2 3" xfId="23166"/>
    <cellStyle name="40% - Accent4 5 2 3 3" xfId="4147"/>
    <cellStyle name="40% - Accent4 5 2 3 3 2" xfId="12921"/>
    <cellStyle name="40% - Accent4 5 2 3 3 2 2" xfId="26633"/>
    <cellStyle name="40% - Accent4 5 2 3 3 3" xfId="23165"/>
    <cellStyle name="40% - Accent4 5 2 3 4" xfId="4148"/>
    <cellStyle name="40% - Accent4 5 2 3 4 2" xfId="15345"/>
    <cellStyle name="40% - Accent4 5 2 3 4 2 2" xfId="28894"/>
    <cellStyle name="40% - Accent4 5 2 3 4 3" xfId="24302"/>
    <cellStyle name="40% - Accent4 5 2 3 5" xfId="4149"/>
    <cellStyle name="40% - Accent4 5 2 3 5 2" xfId="16595"/>
    <cellStyle name="40% - Accent4 5 2 3 5 2 2" xfId="30002"/>
    <cellStyle name="40% - Accent4 5 2 3 5 3" xfId="23164"/>
    <cellStyle name="40% - Accent4 5 2 3 6" xfId="9415"/>
    <cellStyle name="40% - Accent4 5 2 3 6 2" xfId="23890"/>
    <cellStyle name="40% - Accent4 5 2 3 7" xfId="24304"/>
    <cellStyle name="40% - Accent4 5 2 4" xfId="4150"/>
    <cellStyle name="40% - Accent4 5 2 4 2" xfId="4151"/>
    <cellStyle name="40% - Accent4 5 2 4 2 2" xfId="15346"/>
    <cellStyle name="40% - Accent4 5 2 4 2 2 2" xfId="28895"/>
    <cellStyle name="40% - Accent4 5 2 4 2 3" xfId="24301"/>
    <cellStyle name="40% - Accent4 5 2 4 3" xfId="11139"/>
    <cellStyle name="40% - Accent4 5 2 4 3 2" xfId="25081"/>
    <cellStyle name="40% - Accent4 5 2 4 4" xfId="23163"/>
    <cellStyle name="40% - Accent4 5 2 5" xfId="4152"/>
    <cellStyle name="40% - Accent4 5 2 5 2" xfId="11972"/>
    <cellStyle name="40% - Accent4 5 2 5 2 2" xfId="25687"/>
    <cellStyle name="40% - Accent4 5 2 5 3" xfId="23162"/>
    <cellStyle name="40% - Accent4 5 2 6" xfId="4153"/>
    <cellStyle name="40% - Accent4 5 2 6 2" xfId="12918"/>
    <cellStyle name="40% - Accent4 5 2 6 2 2" xfId="26630"/>
    <cellStyle name="40% - Accent4 5 2 6 3" xfId="23161"/>
    <cellStyle name="40% - Accent4 5 2 7" xfId="4154"/>
    <cellStyle name="40% - Accent4 5 2 7 2" xfId="13547"/>
    <cellStyle name="40% - Accent4 5 2 7 2 2" xfId="27096"/>
    <cellStyle name="40% - Accent4 5 2 7 3" xfId="23238"/>
    <cellStyle name="40% - Accent4 5 2 8" xfId="4155"/>
    <cellStyle name="40% - Accent4 5 2 8 2" xfId="14128"/>
    <cellStyle name="40% - Accent4 5 2 8 2 2" xfId="27677"/>
    <cellStyle name="40% - Accent4 5 2 8 3" xfId="30683"/>
    <cellStyle name="40% - Accent4 5 2 9" xfId="4156"/>
    <cellStyle name="40% - Accent4 5 2 9 2" xfId="15341"/>
    <cellStyle name="40% - Accent4 5 2 9 2 2" xfId="28890"/>
    <cellStyle name="40% - Accent4 5 2 9 3" xfId="23160"/>
    <cellStyle name="40% - Accent4 5 3" xfId="4157"/>
    <cellStyle name="40% - Accent4 5 3 10" xfId="9416"/>
    <cellStyle name="40% - Accent4 5 3 10 2" xfId="23891"/>
    <cellStyle name="40% - Accent4 5 3 11" xfId="23159"/>
    <cellStyle name="40% - Accent4 5 3 2" xfId="4158"/>
    <cellStyle name="40% - Accent4 5 3 2 2" xfId="4159"/>
    <cellStyle name="40% - Accent4 5 3 2 2 2" xfId="11144"/>
    <cellStyle name="40% - Accent4 5 3 2 2 2 2" xfId="25086"/>
    <cellStyle name="40% - Accent4 5 3 2 2 3" xfId="23206"/>
    <cellStyle name="40% - Accent4 5 3 2 3" xfId="4160"/>
    <cellStyle name="40% - Accent4 5 3 2 3 2" xfId="12923"/>
    <cellStyle name="40% - Accent4 5 3 2 3 2 2" xfId="26635"/>
    <cellStyle name="40% - Accent4 5 3 2 3 3" xfId="24299"/>
    <cellStyle name="40% - Accent4 5 3 2 4" xfId="4161"/>
    <cellStyle name="40% - Accent4 5 3 2 4 2" xfId="15348"/>
    <cellStyle name="40% - Accent4 5 3 2 4 2 2" xfId="28897"/>
    <cellStyle name="40% - Accent4 5 3 2 4 3" xfId="23157"/>
    <cellStyle name="40% - Accent4 5 3 2 5" xfId="4162"/>
    <cellStyle name="40% - Accent4 5 3 2 5 2" xfId="16744"/>
    <cellStyle name="40% - Accent4 5 3 2 5 2 2" xfId="30151"/>
    <cellStyle name="40% - Accent4 5 3 2 5 3" xfId="26867"/>
    <cellStyle name="40% - Accent4 5 3 2 6" xfId="9417"/>
    <cellStyle name="40% - Accent4 5 3 2 6 2" xfId="23892"/>
    <cellStyle name="40% - Accent4 5 3 2 7" xfId="23158"/>
    <cellStyle name="40% - Accent4 5 3 3" xfId="4163"/>
    <cellStyle name="40% - Accent4 5 3 3 2" xfId="4164"/>
    <cellStyle name="40% - Accent4 5 3 3 2 2" xfId="15349"/>
    <cellStyle name="40% - Accent4 5 3 3 2 2 2" xfId="28898"/>
    <cellStyle name="40% - Accent4 5 3 3 2 3" xfId="24300"/>
    <cellStyle name="40% - Accent4 5 3 3 3" xfId="11143"/>
    <cellStyle name="40% - Accent4 5 3 3 3 2" xfId="25085"/>
    <cellStyle name="40% - Accent4 5 3 3 4" xfId="23156"/>
    <cellStyle name="40% - Accent4 5 3 4" xfId="4165"/>
    <cellStyle name="40% - Accent4 5 3 4 2" xfId="12132"/>
    <cellStyle name="40% - Accent4 5 3 4 2 2" xfId="25844"/>
    <cellStyle name="40% - Accent4 5 3 4 3" xfId="23155"/>
    <cellStyle name="40% - Accent4 5 3 5" xfId="4166"/>
    <cellStyle name="40% - Accent4 5 3 5 2" xfId="12922"/>
    <cellStyle name="40% - Accent4 5 3 5 2 2" xfId="26634"/>
    <cellStyle name="40% - Accent4 5 3 5 3" xfId="23154"/>
    <cellStyle name="40% - Accent4 5 3 6" xfId="4167"/>
    <cellStyle name="40% - Accent4 5 3 6 2" xfId="13696"/>
    <cellStyle name="40% - Accent4 5 3 6 2 2" xfId="27245"/>
    <cellStyle name="40% - Accent4 5 3 6 3" xfId="24297"/>
    <cellStyle name="40% - Accent4 5 3 7" xfId="4168"/>
    <cellStyle name="40% - Accent4 5 3 7 2" xfId="14277"/>
    <cellStyle name="40% - Accent4 5 3 7 2 2" xfId="27826"/>
    <cellStyle name="40% - Accent4 5 3 7 3" xfId="23153"/>
    <cellStyle name="40% - Accent4 5 3 8" xfId="4169"/>
    <cellStyle name="40% - Accent4 5 3 8 2" xfId="15347"/>
    <cellStyle name="40% - Accent4 5 3 8 2 2" xfId="28896"/>
    <cellStyle name="40% - Accent4 5 3 8 3" xfId="23152"/>
    <cellStyle name="40% - Accent4 5 3 9" xfId="4170"/>
    <cellStyle name="40% - Accent4 5 3 9 2" xfId="16163"/>
    <cellStyle name="40% - Accent4 5 3 9 2 2" xfId="29570"/>
    <cellStyle name="40% - Accent4 5 3 9 3" xfId="29172"/>
    <cellStyle name="40% - Accent4 5 4" xfId="4171"/>
    <cellStyle name="40% - Accent4 5 4 2" xfId="4172"/>
    <cellStyle name="40% - Accent4 5 4 2 2" xfId="11145"/>
    <cellStyle name="40% - Accent4 5 4 2 2 2" xfId="25087"/>
    <cellStyle name="40% - Accent4 5 4 2 3" xfId="23150"/>
    <cellStyle name="40% - Accent4 5 4 3" xfId="4173"/>
    <cellStyle name="40% - Accent4 5 4 3 2" xfId="12924"/>
    <cellStyle name="40% - Accent4 5 4 3 2 2" xfId="26636"/>
    <cellStyle name="40% - Accent4 5 4 3 3" xfId="26866"/>
    <cellStyle name="40% - Accent4 5 4 4" xfId="4174"/>
    <cellStyle name="40% - Accent4 5 4 4 2" xfId="15350"/>
    <cellStyle name="40% - Accent4 5 4 4 2 2" xfId="28899"/>
    <cellStyle name="40% - Accent4 5 4 4 3" xfId="23149"/>
    <cellStyle name="40% - Accent4 5 4 5" xfId="4175"/>
    <cellStyle name="40% - Accent4 5 4 5 2" xfId="16452"/>
    <cellStyle name="40% - Accent4 5 4 5 2 2" xfId="29859"/>
    <cellStyle name="40% - Accent4 5 4 5 3" xfId="23148"/>
    <cellStyle name="40% - Accent4 5 4 6" xfId="9418"/>
    <cellStyle name="40% - Accent4 5 4 6 2" xfId="23893"/>
    <cellStyle name="40% - Accent4 5 4 7" xfId="23151"/>
    <cellStyle name="40% - Accent4 5 5" xfId="4176"/>
    <cellStyle name="40% - Accent4 5 5 2" xfId="4177"/>
    <cellStyle name="40% - Accent4 5 5 2 2" xfId="15351"/>
    <cellStyle name="40% - Accent4 5 5 2 2 2" xfId="28900"/>
    <cellStyle name="40% - Accent4 5 5 2 3" xfId="23147"/>
    <cellStyle name="40% - Accent4 5 5 3" xfId="11138"/>
    <cellStyle name="40% - Accent4 5 5 3 2" xfId="25080"/>
    <cellStyle name="40% - Accent4 5 5 4" xfId="24298"/>
    <cellStyle name="40% - Accent4 5 6" xfId="4178"/>
    <cellStyle name="40% - Accent4 5 6 2" xfId="11803"/>
    <cellStyle name="40% - Accent4 5 6 2 2" xfId="25518"/>
    <cellStyle name="40% - Accent4 5 6 3" xfId="25296"/>
    <cellStyle name="40% - Accent4 5 7" xfId="4179"/>
    <cellStyle name="40% - Accent4 5 7 2" xfId="12917"/>
    <cellStyle name="40% - Accent4 5 7 2 2" xfId="26629"/>
    <cellStyle name="40% - Accent4 5 7 3" xfId="23146"/>
    <cellStyle name="40% - Accent4 5 8" xfId="4180"/>
    <cellStyle name="40% - Accent4 5 8 2" xfId="13404"/>
    <cellStyle name="40% - Accent4 5 8 2 2" xfId="26953"/>
    <cellStyle name="40% - Accent4 5 8 3" xfId="23145"/>
    <cellStyle name="40% - Accent4 5 9" xfId="4181"/>
    <cellStyle name="40% - Accent4 5 9 2" xfId="13985"/>
    <cellStyle name="40% - Accent4 5 9 2 2" xfId="27534"/>
    <cellStyle name="40% - Accent4 5 9 3" xfId="23144"/>
    <cellStyle name="40% - Accent4 6" xfId="4182"/>
    <cellStyle name="40% - Accent4 6 10" xfId="4183"/>
    <cellStyle name="40% - Accent4 6 10 2" xfId="15352"/>
    <cellStyle name="40% - Accent4 6 10 2 2" xfId="28901"/>
    <cellStyle name="40% - Accent4 6 10 3" xfId="23143"/>
    <cellStyle name="40% - Accent4 6 11" xfId="4184"/>
    <cellStyle name="40% - Accent4 6 11 2" xfId="15977"/>
    <cellStyle name="40% - Accent4 6 11 2 2" xfId="29384"/>
    <cellStyle name="40% - Accent4 6 11 3" xfId="23142"/>
    <cellStyle name="40% - Accent4 6 12" xfId="9419"/>
    <cellStyle name="40% - Accent4 6 12 2" xfId="23894"/>
    <cellStyle name="40% - Accent4 6 13" xfId="24295"/>
    <cellStyle name="40% - Accent4 6 2" xfId="4185"/>
    <cellStyle name="40% - Accent4 6 2 10" xfId="4186"/>
    <cellStyle name="40% - Accent4 6 2 10 2" xfId="16120"/>
    <cellStyle name="40% - Accent4 6 2 10 2 2" xfId="29527"/>
    <cellStyle name="40% - Accent4 6 2 10 3" xfId="23141"/>
    <cellStyle name="40% - Accent4 6 2 11" xfId="9420"/>
    <cellStyle name="40% - Accent4 6 2 11 2" xfId="23895"/>
    <cellStyle name="40% - Accent4 6 2 12" xfId="29171"/>
    <cellStyle name="40% - Accent4 6 2 2" xfId="4187"/>
    <cellStyle name="40% - Accent4 6 2 2 10" xfId="9421"/>
    <cellStyle name="40% - Accent4 6 2 2 10 2" xfId="23896"/>
    <cellStyle name="40% - Accent4 6 2 2 11" xfId="23140"/>
    <cellStyle name="40% - Accent4 6 2 2 2" xfId="4188"/>
    <cellStyle name="40% - Accent4 6 2 2 2 2" xfId="4189"/>
    <cellStyle name="40% - Accent4 6 2 2 2 2 2" xfId="11149"/>
    <cellStyle name="40% - Accent4 6 2 2 2 2 2 2" xfId="25091"/>
    <cellStyle name="40% - Accent4 6 2 2 2 2 3" xfId="23139"/>
    <cellStyle name="40% - Accent4 6 2 2 2 3" xfId="4190"/>
    <cellStyle name="40% - Accent4 6 2 2 2 3 2" xfId="12928"/>
    <cellStyle name="40% - Accent4 6 2 2 2 3 2 2" xfId="26640"/>
    <cellStyle name="40% - Accent4 6 2 2 2 3 3" xfId="23138"/>
    <cellStyle name="40% - Accent4 6 2 2 2 4" xfId="4191"/>
    <cellStyle name="40% - Accent4 6 2 2 2 4 2" xfId="15355"/>
    <cellStyle name="40% - Accent4 6 2 2 2 4 2 2" xfId="28904"/>
    <cellStyle name="40% - Accent4 6 2 2 2 4 3" xfId="24296"/>
    <cellStyle name="40% - Accent4 6 2 2 2 5" xfId="4192"/>
    <cellStyle name="40% - Accent4 6 2 2 2 5 2" xfId="16990"/>
    <cellStyle name="40% - Accent4 6 2 2 2 5 2 2" xfId="30397"/>
    <cellStyle name="40% - Accent4 6 2 2 2 5 3" xfId="23137"/>
    <cellStyle name="40% - Accent4 6 2 2 2 6" xfId="9422"/>
    <cellStyle name="40% - Accent4 6 2 2 2 6 2" xfId="23897"/>
    <cellStyle name="40% - Accent4 6 2 2 2 7" xfId="26865"/>
    <cellStyle name="40% - Accent4 6 2 2 3" xfId="4193"/>
    <cellStyle name="40% - Accent4 6 2 2 3 2" xfId="4194"/>
    <cellStyle name="40% - Accent4 6 2 2 3 2 2" xfId="15356"/>
    <cellStyle name="40% - Accent4 6 2 2 3 2 2 2" xfId="28905"/>
    <cellStyle name="40% - Accent4 6 2 2 3 2 3" xfId="23136"/>
    <cellStyle name="40% - Accent4 6 2 2 3 3" xfId="11148"/>
    <cellStyle name="40% - Accent4 6 2 2 3 3 2" xfId="25090"/>
    <cellStyle name="40% - Accent4 6 2 2 3 4" xfId="25295"/>
    <cellStyle name="40% - Accent4 6 2 2 4" xfId="4195"/>
    <cellStyle name="40% - Accent4 6 2 2 4 2" xfId="12378"/>
    <cellStyle name="40% - Accent4 6 2 2 4 2 2" xfId="26090"/>
    <cellStyle name="40% - Accent4 6 2 2 4 3" xfId="23135"/>
    <cellStyle name="40% - Accent4 6 2 2 5" xfId="4196"/>
    <cellStyle name="40% - Accent4 6 2 2 5 2" xfId="12927"/>
    <cellStyle name="40% - Accent4 6 2 2 5 2 2" xfId="26639"/>
    <cellStyle name="40% - Accent4 6 2 2 5 3" xfId="23134"/>
    <cellStyle name="40% - Accent4 6 2 2 6" xfId="4197"/>
    <cellStyle name="40% - Accent4 6 2 2 6 2" xfId="13942"/>
    <cellStyle name="40% - Accent4 6 2 2 6 2 2" xfId="27491"/>
    <cellStyle name="40% - Accent4 6 2 2 6 3" xfId="24291"/>
    <cellStyle name="40% - Accent4 6 2 2 7" xfId="4198"/>
    <cellStyle name="40% - Accent4 6 2 2 7 2" xfId="14523"/>
    <cellStyle name="40% - Accent4 6 2 2 7 2 2" xfId="28072"/>
    <cellStyle name="40% - Accent4 6 2 2 7 3" xfId="23133"/>
    <cellStyle name="40% - Accent4 6 2 2 8" xfId="4199"/>
    <cellStyle name="40% - Accent4 6 2 2 8 2" xfId="15354"/>
    <cellStyle name="40% - Accent4 6 2 2 8 2 2" xfId="28903"/>
    <cellStyle name="40% - Accent4 6 2 2 8 3" xfId="23132"/>
    <cellStyle name="40% - Accent4 6 2 2 9" xfId="4200"/>
    <cellStyle name="40% - Accent4 6 2 2 9 2" xfId="16409"/>
    <cellStyle name="40% - Accent4 6 2 2 9 2 2" xfId="29816"/>
    <cellStyle name="40% - Accent4 6 2 2 9 3" xfId="29170"/>
    <cellStyle name="40% - Accent4 6 2 3" xfId="4201"/>
    <cellStyle name="40% - Accent4 6 2 3 2" xfId="4202"/>
    <cellStyle name="40% - Accent4 6 2 3 2 2" xfId="11150"/>
    <cellStyle name="40% - Accent4 6 2 3 2 2 2" xfId="25092"/>
    <cellStyle name="40% - Accent4 6 2 3 2 3" xfId="23130"/>
    <cellStyle name="40% - Accent4 6 2 3 3" xfId="4203"/>
    <cellStyle name="40% - Accent4 6 2 3 3 2" xfId="12929"/>
    <cellStyle name="40% - Accent4 6 2 3 3 2 2" xfId="26641"/>
    <cellStyle name="40% - Accent4 6 2 3 3 3" xfId="26864"/>
    <cellStyle name="40% - Accent4 6 2 3 4" xfId="4204"/>
    <cellStyle name="40% - Accent4 6 2 3 4 2" xfId="15357"/>
    <cellStyle name="40% - Accent4 6 2 3 4 2 2" xfId="28906"/>
    <cellStyle name="40% - Accent4 6 2 3 4 3" xfId="23129"/>
    <cellStyle name="40% - Accent4 6 2 3 5" xfId="4205"/>
    <cellStyle name="40% - Accent4 6 2 3 5 2" xfId="16701"/>
    <cellStyle name="40% - Accent4 6 2 3 5 2 2" xfId="30108"/>
    <cellStyle name="40% - Accent4 6 2 3 5 3" xfId="23128"/>
    <cellStyle name="40% - Accent4 6 2 3 6" xfId="9423"/>
    <cellStyle name="40% - Accent4 6 2 3 6 2" xfId="23898"/>
    <cellStyle name="40% - Accent4 6 2 3 7" xfId="23131"/>
    <cellStyle name="40% - Accent4 6 2 4" xfId="4206"/>
    <cellStyle name="40% - Accent4 6 2 4 2" xfId="4207"/>
    <cellStyle name="40% - Accent4 6 2 4 2 2" xfId="15358"/>
    <cellStyle name="40% - Accent4 6 2 4 2 2 2" xfId="28907"/>
    <cellStyle name="40% - Accent4 6 2 4 2 3" xfId="23127"/>
    <cellStyle name="40% - Accent4 6 2 4 3" xfId="11147"/>
    <cellStyle name="40% - Accent4 6 2 4 3 2" xfId="25089"/>
    <cellStyle name="40% - Accent4 6 2 4 4" xfId="24294"/>
    <cellStyle name="40% - Accent4 6 2 5" xfId="4208"/>
    <cellStyle name="40% - Accent4 6 2 5 2" xfId="12078"/>
    <cellStyle name="40% - Accent4 6 2 5 2 2" xfId="25793"/>
    <cellStyle name="40% - Accent4 6 2 5 3" xfId="25294"/>
    <cellStyle name="40% - Accent4 6 2 6" xfId="4209"/>
    <cellStyle name="40% - Accent4 6 2 6 2" xfId="12926"/>
    <cellStyle name="40% - Accent4 6 2 6 2 2" xfId="26638"/>
    <cellStyle name="40% - Accent4 6 2 6 3" xfId="23126"/>
    <cellStyle name="40% - Accent4 6 2 7" xfId="4210"/>
    <cellStyle name="40% - Accent4 6 2 7 2" xfId="13653"/>
    <cellStyle name="40% - Accent4 6 2 7 2 2" xfId="27202"/>
    <cellStyle name="40% - Accent4 6 2 7 3" xfId="23125"/>
    <cellStyle name="40% - Accent4 6 2 8" xfId="4211"/>
    <cellStyle name="40% - Accent4 6 2 8 2" xfId="14234"/>
    <cellStyle name="40% - Accent4 6 2 8 2 2" xfId="27783"/>
    <cellStyle name="40% - Accent4 6 2 8 3" xfId="24292"/>
    <cellStyle name="40% - Accent4 6 2 9" xfId="4212"/>
    <cellStyle name="40% - Accent4 6 2 9 2" xfId="15353"/>
    <cellStyle name="40% - Accent4 6 2 9 2 2" xfId="28902"/>
    <cellStyle name="40% - Accent4 6 2 9 3" xfId="23124"/>
    <cellStyle name="40% - Accent4 6 3" xfId="4213"/>
    <cellStyle name="40% - Accent4 6 3 10" xfId="9424"/>
    <cellStyle name="40% - Accent4 6 3 10 2" xfId="23899"/>
    <cellStyle name="40% - Accent4 6 3 11" xfId="23123"/>
    <cellStyle name="40% - Accent4 6 3 2" xfId="4214"/>
    <cellStyle name="40% - Accent4 6 3 2 2" xfId="4215"/>
    <cellStyle name="40% - Accent4 6 3 2 2 2" xfId="11152"/>
    <cellStyle name="40% - Accent4 6 3 2 2 2 2" xfId="25094"/>
    <cellStyle name="40% - Accent4 6 3 2 2 3" xfId="23122"/>
    <cellStyle name="40% - Accent4 6 3 2 3" xfId="4216"/>
    <cellStyle name="40% - Accent4 6 3 2 3 2" xfId="12931"/>
    <cellStyle name="40% - Accent4 6 3 2 3 2 2" xfId="26643"/>
    <cellStyle name="40% - Accent4 6 3 2 3 3" xfId="23121"/>
    <cellStyle name="40% - Accent4 6 3 2 4" xfId="4217"/>
    <cellStyle name="40% - Accent4 6 3 2 4 2" xfId="15360"/>
    <cellStyle name="40% - Accent4 6 3 2 4 2 2" xfId="28909"/>
    <cellStyle name="40% - Accent4 6 3 2 4 3" xfId="26863"/>
    <cellStyle name="40% - Accent4 6 3 2 5" xfId="4218"/>
    <cellStyle name="40% - Accent4 6 3 2 5 2" xfId="16847"/>
    <cellStyle name="40% - Accent4 6 3 2 5 2 2" xfId="30254"/>
    <cellStyle name="40% - Accent4 6 3 2 5 3" xfId="23120"/>
    <cellStyle name="40% - Accent4 6 3 2 6" xfId="9425"/>
    <cellStyle name="40% - Accent4 6 3 2 6 2" xfId="23900"/>
    <cellStyle name="40% - Accent4 6 3 2 7" xfId="29169"/>
    <cellStyle name="40% - Accent4 6 3 3" xfId="4219"/>
    <cellStyle name="40% - Accent4 6 3 3 2" xfId="4220"/>
    <cellStyle name="40% - Accent4 6 3 3 2 2" xfId="15361"/>
    <cellStyle name="40% - Accent4 6 3 3 2 2 2" xfId="28910"/>
    <cellStyle name="40% - Accent4 6 3 3 2 3" xfId="24293"/>
    <cellStyle name="40% - Accent4 6 3 3 3" xfId="11151"/>
    <cellStyle name="40% - Accent4 6 3 3 3 2" xfId="25093"/>
    <cellStyle name="40% - Accent4 6 3 3 4" xfId="23119"/>
    <cellStyle name="40% - Accent4 6 3 4" xfId="4221"/>
    <cellStyle name="40% - Accent4 6 3 4 2" xfId="12235"/>
    <cellStyle name="40% - Accent4 6 3 4 2 2" xfId="25947"/>
    <cellStyle name="40% - Accent4 6 3 4 3" xfId="23118"/>
    <cellStyle name="40% - Accent4 6 3 5" xfId="4222"/>
    <cellStyle name="40% - Accent4 6 3 5 2" xfId="12930"/>
    <cellStyle name="40% - Accent4 6 3 5 2 2" xfId="26642"/>
    <cellStyle name="40% - Accent4 6 3 5 3" xfId="25293"/>
    <cellStyle name="40% - Accent4 6 3 6" xfId="4223"/>
    <cellStyle name="40% - Accent4 6 3 6 2" xfId="13799"/>
    <cellStyle name="40% - Accent4 6 3 6 2 2" xfId="27348"/>
    <cellStyle name="40% - Accent4 6 3 6 3" xfId="23117"/>
    <cellStyle name="40% - Accent4 6 3 7" xfId="4224"/>
    <cellStyle name="40% - Accent4 6 3 7 2" xfId="14380"/>
    <cellStyle name="40% - Accent4 6 3 7 2 2" xfId="27929"/>
    <cellStyle name="40% - Accent4 6 3 7 3" xfId="23116"/>
    <cellStyle name="40% - Accent4 6 3 8" xfId="4225"/>
    <cellStyle name="40% - Accent4 6 3 8 2" xfId="15359"/>
    <cellStyle name="40% - Accent4 6 3 8 2 2" xfId="28908"/>
    <cellStyle name="40% - Accent4 6 3 8 3" xfId="23115"/>
    <cellStyle name="40% - Accent4 6 3 9" xfId="4226"/>
    <cellStyle name="40% - Accent4 6 3 9 2" xfId="16266"/>
    <cellStyle name="40% - Accent4 6 3 9 2 2" xfId="29673"/>
    <cellStyle name="40% - Accent4 6 3 9 3" xfId="23114"/>
    <cellStyle name="40% - Accent4 6 4" xfId="4227"/>
    <cellStyle name="40% - Accent4 6 4 2" xfId="4228"/>
    <cellStyle name="40% - Accent4 6 4 2 2" xfId="11153"/>
    <cellStyle name="40% - Accent4 6 4 2 2 2" xfId="25095"/>
    <cellStyle name="40% - Accent4 6 4 2 3" xfId="23112"/>
    <cellStyle name="40% - Accent4 6 4 3" xfId="4229"/>
    <cellStyle name="40% - Accent4 6 4 3 2" xfId="12932"/>
    <cellStyle name="40% - Accent4 6 4 3 2 2" xfId="26644"/>
    <cellStyle name="40% - Accent4 6 4 3 3" xfId="29168"/>
    <cellStyle name="40% - Accent4 6 4 4" xfId="4230"/>
    <cellStyle name="40% - Accent4 6 4 4 2" xfId="15362"/>
    <cellStyle name="40% - Accent4 6 4 4 2 2" xfId="28911"/>
    <cellStyle name="40% - Accent4 6 4 4 3" xfId="23111"/>
    <cellStyle name="40% - Accent4 6 4 5" xfId="4231"/>
    <cellStyle name="40% - Accent4 6 4 5 2" xfId="16558"/>
    <cellStyle name="40% - Accent4 6 4 5 2 2" xfId="29965"/>
    <cellStyle name="40% - Accent4 6 4 5 3" xfId="23110"/>
    <cellStyle name="40% - Accent4 6 4 6" xfId="9426"/>
    <cellStyle name="40% - Accent4 6 4 6 2" xfId="23901"/>
    <cellStyle name="40% - Accent4 6 4 7" xfId="23113"/>
    <cellStyle name="40% - Accent4 6 5" xfId="4232"/>
    <cellStyle name="40% - Accent4 6 5 2" xfId="4233"/>
    <cellStyle name="40% - Accent4 6 5 2 2" xfId="15363"/>
    <cellStyle name="40% - Accent4 6 5 2 2 2" xfId="28912"/>
    <cellStyle name="40% - Accent4 6 5 2 3" xfId="23109"/>
    <cellStyle name="40% - Accent4 6 5 3" xfId="11146"/>
    <cellStyle name="40% - Accent4 6 5 3 2" xfId="25088"/>
    <cellStyle name="40% - Accent4 6 5 4" xfId="26862"/>
    <cellStyle name="40% - Accent4 6 6" xfId="4234"/>
    <cellStyle name="40% - Accent4 6 6 2" xfId="11933"/>
    <cellStyle name="40% - Accent4 6 6 2 2" xfId="25648"/>
    <cellStyle name="40% - Accent4 6 6 3" xfId="23108"/>
    <cellStyle name="40% - Accent4 6 7" xfId="4235"/>
    <cellStyle name="40% - Accent4 6 7 2" xfId="12925"/>
    <cellStyle name="40% - Accent4 6 7 2 2" xfId="26637"/>
    <cellStyle name="40% - Accent4 6 7 3" xfId="24290"/>
    <cellStyle name="40% - Accent4 6 8" xfId="4236"/>
    <cellStyle name="40% - Accent4 6 8 2" xfId="13510"/>
    <cellStyle name="40% - Accent4 6 8 2 2" xfId="27059"/>
    <cellStyle name="40% - Accent4 6 8 3" xfId="25292"/>
    <cellStyle name="40% - Accent4 6 9" xfId="4237"/>
    <cellStyle name="40% - Accent4 6 9 2" xfId="14091"/>
    <cellStyle name="40% - Accent4 6 9 2 2" xfId="27640"/>
    <cellStyle name="40% - Accent4 6 9 3" xfId="23107"/>
    <cellStyle name="40% - Accent4 7" xfId="4238"/>
    <cellStyle name="40% - Accent4 7 10" xfId="4239"/>
    <cellStyle name="40% - Accent4 7 10 2" xfId="15995"/>
    <cellStyle name="40% - Accent4 7 10 2 2" xfId="29402"/>
    <cellStyle name="40% - Accent4 7 10 3" xfId="24289"/>
    <cellStyle name="40% - Accent4 7 11" xfId="9427"/>
    <cellStyle name="40% - Accent4 7 11 2" xfId="23902"/>
    <cellStyle name="40% - Accent4 7 12" xfId="23106"/>
    <cellStyle name="40% - Accent4 7 2" xfId="4240"/>
    <cellStyle name="40% - Accent4 7 2 10" xfId="9428"/>
    <cellStyle name="40% - Accent4 7 2 10 2" xfId="23903"/>
    <cellStyle name="40% - Accent4 7 2 11" xfId="23105"/>
    <cellStyle name="40% - Accent4 7 2 2" xfId="4241"/>
    <cellStyle name="40% - Accent4 7 2 2 2" xfId="4242"/>
    <cellStyle name="40% - Accent4 7 2 2 2 2" xfId="11156"/>
    <cellStyle name="40% - Accent4 7 2 2 2 2 2" xfId="25098"/>
    <cellStyle name="40% - Accent4 7 2 2 2 3" xfId="24287"/>
    <cellStyle name="40% - Accent4 7 2 2 3" xfId="4243"/>
    <cellStyle name="40% - Accent4 7 2 2 3 2" xfId="12935"/>
    <cellStyle name="40% - Accent4 7 2 2 3 2 2" xfId="26647"/>
    <cellStyle name="40% - Accent4 7 2 2 3 3" xfId="23103"/>
    <cellStyle name="40% - Accent4 7 2 2 4" xfId="4244"/>
    <cellStyle name="40% - Accent4 7 2 2 4 2" xfId="15366"/>
    <cellStyle name="40% - Accent4 7 2 2 4 2 2" xfId="28915"/>
    <cellStyle name="40% - Accent4 7 2 2 4 3" xfId="23102"/>
    <cellStyle name="40% - Accent4 7 2 2 5" xfId="4245"/>
    <cellStyle name="40% - Accent4 7 2 2 5 2" xfId="16865"/>
    <cellStyle name="40% - Accent4 7 2 2 5 2 2" xfId="30272"/>
    <cellStyle name="40% - Accent4 7 2 2 5 3" xfId="29167"/>
    <cellStyle name="40% - Accent4 7 2 2 6" xfId="9429"/>
    <cellStyle name="40% - Accent4 7 2 2 6 2" xfId="23904"/>
    <cellStyle name="40% - Accent4 7 2 2 7" xfId="23104"/>
    <cellStyle name="40% - Accent4 7 2 3" xfId="4246"/>
    <cellStyle name="40% - Accent4 7 2 3 2" xfId="4247"/>
    <cellStyle name="40% - Accent4 7 2 3 2 2" xfId="15367"/>
    <cellStyle name="40% - Accent4 7 2 3 2 2 2" xfId="28916"/>
    <cellStyle name="40% - Accent4 7 2 3 2 3" xfId="23100"/>
    <cellStyle name="40% - Accent4 7 2 3 3" xfId="11155"/>
    <cellStyle name="40% - Accent4 7 2 3 3 2" xfId="25097"/>
    <cellStyle name="40% - Accent4 7 2 3 4" xfId="23101"/>
    <cellStyle name="40% - Accent4 7 2 4" xfId="4248"/>
    <cellStyle name="40% - Accent4 7 2 4 2" xfId="12253"/>
    <cellStyle name="40% - Accent4 7 2 4 2 2" xfId="25965"/>
    <cellStyle name="40% - Accent4 7 2 4 3" xfId="26861"/>
    <cellStyle name="40% - Accent4 7 2 5" xfId="4249"/>
    <cellStyle name="40% - Accent4 7 2 5 2" xfId="12934"/>
    <cellStyle name="40% - Accent4 7 2 5 2 2" xfId="26646"/>
    <cellStyle name="40% - Accent4 7 2 5 3" xfId="23099"/>
    <cellStyle name="40% - Accent4 7 2 6" xfId="4250"/>
    <cellStyle name="40% - Accent4 7 2 6 2" xfId="13817"/>
    <cellStyle name="40% - Accent4 7 2 6 2 2" xfId="27366"/>
    <cellStyle name="40% - Accent4 7 2 6 3" xfId="23098"/>
    <cellStyle name="40% - Accent4 7 2 7" xfId="4251"/>
    <cellStyle name="40% - Accent4 7 2 7 2" xfId="14398"/>
    <cellStyle name="40% - Accent4 7 2 7 2 2" xfId="27947"/>
    <cellStyle name="40% - Accent4 7 2 7 3" xfId="24288"/>
    <cellStyle name="40% - Accent4 7 2 8" xfId="4252"/>
    <cellStyle name="40% - Accent4 7 2 8 2" xfId="15365"/>
    <cellStyle name="40% - Accent4 7 2 8 2 2" xfId="28914"/>
    <cellStyle name="40% - Accent4 7 2 8 3" xfId="23097"/>
    <cellStyle name="40% - Accent4 7 2 9" xfId="4253"/>
    <cellStyle name="40% - Accent4 7 2 9 2" xfId="16284"/>
    <cellStyle name="40% - Accent4 7 2 9 2 2" xfId="29691"/>
    <cellStyle name="40% - Accent4 7 2 9 3" xfId="25291"/>
    <cellStyle name="40% - Accent4 7 3" xfId="4254"/>
    <cellStyle name="40% - Accent4 7 3 2" xfId="4255"/>
    <cellStyle name="40% - Accent4 7 3 2 2" xfId="11157"/>
    <cellStyle name="40% - Accent4 7 3 2 2 2" xfId="25099"/>
    <cellStyle name="40% - Accent4 7 3 2 3" xfId="23095"/>
    <cellStyle name="40% - Accent4 7 3 3" xfId="4256"/>
    <cellStyle name="40% - Accent4 7 3 3 2" xfId="12936"/>
    <cellStyle name="40% - Accent4 7 3 3 2 2" xfId="26648"/>
    <cellStyle name="40% - Accent4 7 3 3 3" xfId="23094"/>
    <cellStyle name="40% - Accent4 7 3 4" xfId="4257"/>
    <cellStyle name="40% - Accent4 7 3 4 2" xfId="15368"/>
    <cellStyle name="40% - Accent4 7 3 4 2 2" xfId="28917"/>
    <cellStyle name="40% - Accent4 7 3 4 3" xfId="24283"/>
    <cellStyle name="40% - Accent4 7 3 5" xfId="4258"/>
    <cellStyle name="40% - Accent4 7 3 5 2" xfId="16576"/>
    <cellStyle name="40% - Accent4 7 3 5 2 2" xfId="29983"/>
    <cellStyle name="40% - Accent4 7 3 5 3" xfId="23093"/>
    <cellStyle name="40% - Accent4 7 3 6" xfId="9430"/>
    <cellStyle name="40% - Accent4 7 3 6 2" xfId="23905"/>
    <cellStyle name="40% - Accent4 7 3 7" xfId="23096"/>
    <cellStyle name="40% - Accent4 7 4" xfId="4259"/>
    <cellStyle name="40% - Accent4 7 4 2" xfId="4260"/>
    <cellStyle name="40% - Accent4 7 4 2 2" xfId="15369"/>
    <cellStyle name="40% - Accent4 7 4 2 2 2" xfId="28918"/>
    <cellStyle name="40% - Accent4 7 4 2 3" xfId="29166"/>
    <cellStyle name="40% - Accent4 7 4 3" xfId="11154"/>
    <cellStyle name="40% - Accent4 7 4 3 2" xfId="25096"/>
    <cellStyle name="40% - Accent4 7 4 4" xfId="23092"/>
    <cellStyle name="40% - Accent4 7 5" xfId="4261"/>
    <cellStyle name="40% - Accent4 7 5 2" xfId="11951"/>
    <cellStyle name="40% - Accent4 7 5 2 2" xfId="25666"/>
    <cellStyle name="40% - Accent4 7 5 3" xfId="23091"/>
    <cellStyle name="40% - Accent4 7 6" xfId="4262"/>
    <cellStyle name="40% - Accent4 7 6 2" xfId="12933"/>
    <cellStyle name="40% - Accent4 7 6 2 2" xfId="26645"/>
    <cellStyle name="40% - Accent4 7 6 3" xfId="23090"/>
    <cellStyle name="40% - Accent4 7 7" xfId="4263"/>
    <cellStyle name="40% - Accent4 7 7 2" xfId="13528"/>
    <cellStyle name="40% - Accent4 7 7 2 2" xfId="27077"/>
    <cellStyle name="40% - Accent4 7 7 3" xfId="26860"/>
    <cellStyle name="40% - Accent4 7 8" xfId="4264"/>
    <cellStyle name="40% - Accent4 7 8 2" xfId="14109"/>
    <cellStyle name="40% - Accent4 7 8 2 2" xfId="27658"/>
    <cellStyle name="40% - Accent4 7 8 3" xfId="23089"/>
    <cellStyle name="40% - Accent4 7 9" xfId="4265"/>
    <cellStyle name="40% - Accent4 7 9 2" xfId="15364"/>
    <cellStyle name="40% - Accent4 7 9 2 2" xfId="28913"/>
    <cellStyle name="40% - Accent4 7 9 3" xfId="23088"/>
    <cellStyle name="40% - Accent4 8" xfId="4266"/>
    <cellStyle name="40% - Accent4 8 10" xfId="9431"/>
    <cellStyle name="40% - Accent4 8 10 2" xfId="23906"/>
    <cellStyle name="40% - Accent4 8 11" xfId="24286"/>
    <cellStyle name="40% - Accent4 8 2" xfId="4267"/>
    <cellStyle name="40% - Accent4 8 2 2" xfId="4268"/>
    <cellStyle name="40% - Accent4 8 2 2 2" xfId="11159"/>
    <cellStyle name="40% - Accent4 8 2 2 2 2" xfId="25101"/>
    <cellStyle name="40% - Accent4 8 2 2 3" xfId="25290"/>
    <cellStyle name="40% - Accent4 8 2 3" xfId="4269"/>
    <cellStyle name="40% - Accent4 8 2 3 2" xfId="12938"/>
    <cellStyle name="40% - Accent4 8 2 3 2 2" xfId="26650"/>
    <cellStyle name="40% - Accent4 8 2 3 3" xfId="23086"/>
    <cellStyle name="40% - Accent4 8 2 4" xfId="4270"/>
    <cellStyle name="40% - Accent4 8 2 4 2" xfId="15371"/>
    <cellStyle name="40% - Accent4 8 2 4 2 2" xfId="28920"/>
    <cellStyle name="40% - Accent4 8 2 4 3" xfId="23085"/>
    <cellStyle name="40% - Accent4 8 2 5" xfId="4271"/>
    <cellStyle name="40% - Accent4 8 2 5 2" xfId="16721"/>
    <cellStyle name="40% - Accent4 8 2 5 2 2" xfId="30128"/>
    <cellStyle name="40% - Accent4 8 2 5 3" xfId="24284"/>
    <cellStyle name="40% - Accent4 8 2 6" xfId="9432"/>
    <cellStyle name="40% - Accent4 8 2 6 2" xfId="23907"/>
    <cellStyle name="40% - Accent4 8 2 7" xfId="23087"/>
    <cellStyle name="40% - Accent4 8 3" xfId="4272"/>
    <cellStyle name="40% - Accent4 8 3 2" xfId="4273"/>
    <cellStyle name="40% - Accent4 8 3 2 2" xfId="15372"/>
    <cellStyle name="40% - Accent4 8 3 2 2 2" xfId="28921"/>
    <cellStyle name="40% - Accent4 8 3 2 3" xfId="23083"/>
    <cellStyle name="40% - Accent4 8 3 3" xfId="11158"/>
    <cellStyle name="40% - Accent4 8 3 3 2" xfId="25100"/>
    <cellStyle name="40% - Accent4 8 3 4" xfId="23084"/>
    <cellStyle name="40% - Accent4 8 4" xfId="4274"/>
    <cellStyle name="40% - Accent4 8 4 2" xfId="12099"/>
    <cellStyle name="40% - Accent4 8 4 2 2" xfId="25813"/>
    <cellStyle name="40% - Accent4 8 4 3" xfId="29165"/>
    <cellStyle name="40% - Accent4 8 5" xfId="4275"/>
    <cellStyle name="40% - Accent4 8 5 2" xfId="12937"/>
    <cellStyle name="40% - Accent4 8 5 2 2" xfId="26649"/>
    <cellStyle name="40% - Accent4 8 5 3" xfId="23082"/>
    <cellStyle name="40% - Accent4 8 6" xfId="4276"/>
    <cellStyle name="40% - Accent4 8 6 2" xfId="13673"/>
    <cellStyle name="40% - Accent4 8 6 2 2" xfId="27222"/>
    <cellStyle name="40% - Accent4 8 6 3" xfId="23081"/>
    <cellStyle name="40% - Accent4 8 7" xfId="4277"/>
    <cellStyle name="40% - Accent4 8 7 2" xfId="14254"/>
    <cellStyle name="40% - Accent4 8 7 2 2" xfId="27803"/>
    <cellStyle name="40% - Accent4 8 7 3" xfId="26859"/>
    <cellStyle name="40% - Accent4 8 8" xfId="4278"/>
    <cellStyle name="40% - Accent4 8 8 2" xfId="15370"/>
    <cellStyle name="40% - Accent4 8 8 2 2" xfId="28919"/>
    <cellStyle name="40% - Accent4 8 8 3" xfId="23080"/>
    <cellStyle name="40% - Accent4 8 9" xfId="4279"/>
    <cellStyle name="40% - Accent4 8 9 2" xfId="16140"/>
    <cellStyle name="40% - Accent4 8 9 2 2" xfId="29547"/>
    <cellStyle name="40% - Accent4 8 9 3" xfId="23079"/>
    <cellStyle name="40% - Accent4 9" xfId="4280"/>
    <cellStyle name="40% - Accent4 9 2" xfId="4281"/>
    <cellStyle name="40% - Accent4 9 2 2" xfId="11160"/>
    <cellStyle name="40% - Accent4 9 2 2 2" xfId="25102"/>
    <cellStyle name="40% - Accent4 9 2 3" xfId="23078"/>
    <cellStyle name="40% - Accent4 9 3" xfId="4282"/>
    <cellStyle name="40% - Accent4 9 3 2" xfId="12939"/>
    <cellStyle name="40% - Accent4 9 3 2 2" xfId="26651"/>
    <cellStyle name="40% - Accent4 9 3 3" xfId="25289"/>
    <cellStyle name="40% - Accent4 9 4" xfId="4283"/>
    <cellStyle name="40% - Accent4 9 4 2" xfId="15373"/>
    <cellStyle name="40% - Accent4 9 4 2 2" xfId="28922"/>
    <cellStyle name="40% - Accent4 9 4 3" xfId="23077"/>
    <cellStyle name="40% - Accent4 9 5" xfId="4284"/>
    <cellStyle name="40% - Accent4 9 5 2" xfId="17105"/>
    <cellStyle name="40% - Accent4 9 5 2 2" xfId="30464"/>
    <cellStyle name="40% - Accent4 9 5 3" xfId="23076"/>
    <cellStyle name="40% - Accent4 9 6" xfId="9433"/>
    <cellStyle name="40% - Accent4 9 6 2" xfId="23908"/>
    <cellStyle name="40% - Accent4 9 7" xfId="24285"/>
    <cellStyle name="40% - Accent5" xfId="44" builtinId="47" customBuiltin="1"/>
    <cellStyle name="40% - Accent5 10" xfId="4285"/>
    <cellStyle name="40% - Accent5 10 2" xfId="4286"/>
    <cellStyle name="40% - Accent5 10 2 2" xfId="4287"/>
    <cellStyle name="40% - Accent5 10 2 2 2" xfId="12942"/>
    <cellStyle name="40% - Accent5 10 2 2 2 2" xfId="26654"/>
    <cellStyle name="40% - Accent5 10 2 2 3" xfId="24282"/>
    <cellStyle name="40% - Accent5 10 2 3" xfId="4288"/>
    <cellStyle name="40% - Accent5 10 2 3 2" xfId="15376"/>
    <cellStyle name="40% - Accent5 10 2 3 2 2" xfId="28925"/>
    <cellStyle name="40% - Accent5 10 2 3 3" xfId="23073"/>
    <cellStyle name="40% - Accent5 10 2 4" xfId="11162"/>
    <cellStyle name="40% - Accent5 10 2 4 2" xfId="25104"/>
    <cellStyle name="40% - Accent5 10 2 5" xfId="23074"/>
    <cellStyle name="40% - Accent5 10 3" xfId="4289"/>
    <cellStyle name="40% - Accent5 10 3 2" xfId="12941"/>
    <cellStyle name="40% - Accent5 10 3 2 2" xfId="26653"/>
    <cellStyle name="40% - Accent5 10 3 3" xfId="23072"/>
    <cellStyle name="40% - Accent5 10 4" xfId="4290"/>
    <cellStyle name="40% - Accent5 10 4 2" xfId="15375"/>
    <cellStyle name="40% - Accent5 10 4 2 2" xfId="28924"/>
    <cellStyle name="40% - Accent5 10 4 3" xfId="23071"/>
    <cellStyle name="40% - Accent5 10 5" xfId="4291"/>
    <cellStyle name="40% - Accent5 10 5 2" xfId="17195"/>
    <cellStyle name="40% - Accent5 10 5 2 2" xfId="30554"/>
    <cellStyle name="40% - Accent5 10 5 3" xfId="29164"/>
    <cellStyle name="40% - Accent5 10 6" xfId="9435"/>
    <cellStyle name="40% - Accent5 10 6 2" xfId="23910"/>
    <cellStyle name="40% - Accent5 10 7" xfId="23075"/>
    <cellStyle name="40% - Accent5 11" xfId="4292"/>
    <cellStyle name="40% - Accent5 11 2" xfId="4293"/>
    <cellStyle name="40% - Accent5 11 2 2" xfId="11163"/>
    <cellStyle name="40% - Accent5 11 2 2 2" xfId="25105"/>
    <cellStyle name="40% - Accent5 11 2 3" xfId="23069"/>
    <cellStyle name="40% - Accent5 11 3" xfId="4294"/>
    <cellStyle name="40% - Accent5 11 3 2" xfId="12943"/>
    <cellStyle name="40% - Accent5 11 3 2 2" xfId="26655"/>
    <cellStyle name="40% - Accent5 11 3 3" xfId="26858"/>
    <cellStyle name="40% - Accent5 11 4" xfId="4295"/>
    <cellStyle name="40% - Accent5 11 4 2" xfId="15377"/>
    <cellStyle name="40% - Accent5 11 4 2 2" xfId="28926"/>
    <cellStyle name="40% - Accent5 11 4 3" xfId="23068"/>
    <cellStyle name="40% - Accent5 11 5" xfId="4296"/>
    <cellStyle name="40% - Accent5 11 5 2" xfId="17284"/>
    <cellStyle name="40% - Accent5 11 5 2 2" xfId="30643"/>
    <cellStyle name="40% - Accent5 11 5 3" xfId="23067"/>
    <cellStyle name="40% - Accent5 11 6" xfId="9436"/>
    <cellStyle name="40% - Accent5 11 6 2" xfId="23911"/>
    <cellStyle name="40% - Accent5 11 7" xfId="23070"/>
    <cellStyle name="40% - Accent5 12" xfId="4297"/>
    <cellStyle name="40% - Accent5 12 2" xfId="4298"/>
    <cellStyle name="40% - Accent5 12 2 2" xfId="4299"/>
    <cellStyle name="40% - Accent5 12 2 2 2" xfId="11165"/>
    <cellStyle name="40% - Accent5 12 2 2 2 2" xfId="25107"/>
    <cellStyle name="40% - Accent5 12 2 2 3" xfId="23066"/>
    <cellStyle name="40% - Accent5 12 2 3" xfId="4300"/>
    <cellStyle name="40% - Accent5 12 2 3 2" xfId="12945"/>
    <cellStyle name="40% - Accent5 12 2 3 2 2" xfId="26657"/>
    <cellStyle name="40% - Accent5 12 2 3 3" xfId="23065"/>
    <cellStyle name="40% - Accent5 12 2 4" xfId="4301"/>
    <cellStyle name="40% - Accent5 12 2 4 2" xfId="15379"/>
    <cellStyle name="40% - Accent5 12 2 4 2 2" xfId="28928"/>
    <cellStyle name="40% - Accent5 12 2 4 3" xfId="24280"/>
    <cellStyle name="40% - Accent5 12 2 5" xfId="9438"/>
    <cellStyle name="40% - Accent5 12 2 5 2" xfId="23913"/>
    <cellStyle name="40% - Accent5 12 2 6" xfId="25288"/>
    <cellStyle name="40% - Accent5 12 3" xfId="4302"/>
    <cellStyle name="40% - Accent5 12 3 2" xfId="11164"/>
    <cellStyle name="40% - Accent5 12 3 2 2" xfId="25106"/>
    <cellStyle name="40% - Accent5 12 3 3" xfId="23064"/>
    <cellStyle name="40% - Accent5 12 4" xfId="4303"/>
    <cellStyle name="40% - Accent5 12 4 2" xfId="12944"/>
    <cellStyle name="40% - Accent5 12 4 2 2" xfId="26656"/>
    <cellStyle name="40% - Accent5 12 4 3" xfId="23063"/>
    <cellStyle name="40% - Accent5 12 5" xfId="4304"/>
    <cellStyle name="40% - Accent5 12 5 2" xfId="15378"/>
    <cellStyle name="40% - Accent5 12 5 2 2" xfId="28927"/>
    <cellStyle name="40% - Accent5 12 5 3" xfId="24278"/>
    <cellStyle name="40% - Accent5 12 6" xfId="4305"/>
    <cellStyle name="40% - Accent5 12 6 2" xfId="16436"/>
    <cellStyle name="40% - Accent5 12 6 2 2" xfId="29843"/>
    <cellStyle name="40% - Accent5 12 6 3" xfId="23062"/>
    <cellStyle name="40% - Accent5 12 7" xfId="9437"/>
    <cellStyle name="40% - Accent5 12 7 2" xfId="23912"/>
    <cellStyle name="40% - Accent5 12 8" xfId="24281"/>
    <cellStyle name="40% - Accent5 13" xfId="4306"/>
    <cellStyle name="40% - Accent5 13 2" xfId="4307"/>
    <cellStyle name="40% - Accent5 13 2 2" xfId="11166"/>
    <cellStyle name="40% - Accent5 13 2 2 2" xfId="25108"/>
    <cellStyle name="40% - Accent5 13 2 3" xfId="29163"/>
    <cellStyle name="40% - Accent5 13 3" xfId="4308"/>
    <cellStyle name="40% - Accent5 13 3 2" xfId="12946"/>
    <cellStyle name="40% - Accent5 13 3 2 2" xfId="26658"/>
    <cellStyle name="40% - Accent5 13 3 3" xfId="23060"/>
    <cellStyle name="40% - Accent5 13 4" xfId="4309"/>
    <cellStyle name="40% - Accent5 13 4 2" xfId="15380"/>
    <cellStyle name="40% - Accent5 13 4 2 2" xfId="28929"/>
    <cellStyle name="40% - Accent5 13 4 3" xfId="23059"/>
    <cellStyle name="40% - Accent5 13 5" xfId="9439"/>
    <cellStyle name="40% - Accent5 13 5 2" xfId="23914"/>
    <cellStyle name="40% - Accent5 13 6" xfId="23061"/>
    <cellStyle name="40% - Accent5 14" xfId="4310"/>
    <cellStyle name="40% - Accent5 14 2" xfId="4311"/>
    <cellStyle name="40% - Accent5 14 2 2" xfId="11167"/>
    <cellStyle name="40% - Accent5 14 2 2 2" xfId="25109"/>
    <cellStyle name="40% - Accent5 14 2 3" xfId="23058"/>
    <cellStyle name="40% - Accent5 14 3" xfId="4312"/>
    <cellStyle name="40% - Accent5 14 3 2" xfId="12947"/>
    <cellStyle name="40% - Accent5 14 3 2 2" xfId="26659"/>
    <cellStyle name="40% - Accent5 14 3 3" xfId="23057"/>
    <cellStyle name="40% - Accent5 14 4" xfId="4313"/>
    <cellStyle name="40% - Accent5 14 4 2" xfId="15381"/>
    <cellStyle name="40% - Accent5 14 4 2 2" xfId="28930"/>
    <cellStyle name="40% - Accent5 14 4 3" xfId="24279"/>
    <cellStyle name="40% - Accent5 14 5" xfId="9440"/>
    <cellStyle name="40% - Accent5 14 5 2" xfId="23915"/>
    <cellStyle name="40% - Accent5 14 6" xfId="26857"/>
    <cellStyle name="40% - Accent5 15" xfId="4314"/>
    <cellStyle name="40% - Accent5 15 2" xfId="4315"/>
    <cellStyle name="40% - Accent5 15 2 2" xfId="11168"/>
    <cellStyle name="40% - Accent5 15 2 2 2" xfId="25110"/>
    <cellStyle name="40% - Accent5 15 2 3" xfId="25287"/>
    <cellStyle name="40% - Accent5 15 3" xfId="4316"/>
    <cellStyle name="40% - Accent5 15 3 2" xfId="12948"/>
    <cellStyle name="40% - Accent5 15 3 2 2" xfId="26660"/>
    <cellStyle name="40% - Accent5 15 3 3" xfId="23055"/>
    <cellStyle name="40% - Accent5 15 4" xfId="4317"/>
    <cellStyle name="40% - Accent5 15 4 2" xfId="15382"/>
    <cellStyle name="40% - Accent5 15 4 2 2" xfId="28931"/>
    <cellStyle name="40% - Accent5 15 4 3" xfId="23054"/>
    <cellStyle name="40% - Accent5 15 5" xfId="9441"/>
    <cellStyle name="40% - Accent5 15 5 2" xfId="23916"/>
    <cellStyle name="40% - Accent5 15 6" xfId="23056"/>
    <cellStyle name="40% - Accent5 16" xfId="4318"/>
    <cellStyle name="40% - Accent5 16 2" xfId="4319"/>
    <cellStyle name="40% - Accent5 16 2 2" xfId="11169"/>
    <cellStyle name="40% - Accent5 16 2 2 2" xfId="25111"/>
    <cellStyle name="40% - Accent5 16 2 3" xfId="24274"/>
    <cellStyle name="40% - Accent5 16 3" xfId="4320"/>
    <cellStyle name="40% - Accent5 16 3 2" xfId="12949"/>
    <cellStyle name="40% - Accent5 16 3 2 2" xfId="26661"/>
    <cellStyle name="40% - Accent5 16 3 3" xfId="23052"/>
    <cellStyle name="40% - Accent5 16 4" xfId="4321"/>
    <cellStyle name="40% - Accent5 16 4 2" xfId="15383"/>
    <cellStyle name="40% - Accent5 16 4 2 2" xfId="28932"/>
    <cellStyle name="40% - Accent5 16 4 3" xfId="23051"/>
    <cellStyle name="40% - Accent5 16 5" xfId="9442"/>
    <cellStyle name="40% - Accent5 16 5 2" xfId="23917"/>
    <cellStyle name="40% - Accent5 16 6" xfId="23053"/>
    <cellStyle name="40% - Accent5 17" xfId="4322"/>
    <cellStyle name="40% - Accent5 17 2" xfId="4323"/>
    <cellStyle name="40% - Accent5 17 2 2" xfId="11170"/>
    <cellStyle name="40% - Accent5 17 2 2 2" xfId="25112"/>
    <cellStyle name="40% - Accent5 17 2 3" xfId="23050"/>
    <cellStyle name="40% - Accent5 17 3" xfId="4324"/>
    <cellStyle name="40% - Accent5 17 3 2" xfId="12950"/>
    <cellStyle name="40% - Accent5 17 3 2 2" xfId="26662"/>
    <cellStyle name="40% - Accent5 17 3 3" xfId="23049"/>
    <cellStyle name="40% - Accent5 17 4" xfId="4325"/>
    <cellStyle name="40% - Accent5 17 4 2" xfId="15384"/>
    <cellStyle name="40% - Accent5 17 4 2 2" xfId="28933"/>
    <cellStyle name="40% - Accent5 17 4 3" xfId="26856"/>
    <cellStyle name="40% - Accent5 17 5" xfId="9443"/>
    <cellStyle name="40% - Accent5 17 5 2" xfId="23918"/>
    <cellStyle name="40% - Accent5 17 6" xfId="29162"/>
    <cellStyle name="40% - Accent5 18" xfId="4326"/>
    <cellStyle name="40% - Accent5 18 2" xfId="4327"/>
    <cellStyle name="40% - Accent5 18 2 2" xfId="11171"/>
    <cellStyle name="40% - Accent5 18 2 2 2" xfId="25113"/>
    <cellStyle name="40% - Accent5 18 2 3" xfId="23047"/>
    <cellStyle name="40% - Accent5 18 3" xfId="4328"/>
    <cellStyle name="40% - Accent5 18 3 2" xfId="12951"/>
    <cellStyle name="40% - Accent5 18 3 2 2" xfId="26663"/>
    <cellStyle name="40% - Accent5 18 3 3" xfId="24277"/>
    <cellStyle name="40% - Accent5 18 4" xfId="4329"/>
    <cellStyle name="40% - Accent5 18 4 2" xfId="15385"/>
    <cellStyle name="40% - Accent5 18 4 2 2" xfId="28934"/>
    <cellStyle name="40% - Accent5 18 4 3" xfId="23046"/>
    <cellStyle name="40% - Accent5 18 5" xfId="9444"/>
    <cellStyle name="40% - Accent5 18 5 2" xfId="23919"/>
    <cellStyle name="40% - Accent5 18 6" xfId="23048"/>
    <cellStyle name="40% - Accent5 19" xfId="4330"/>
    <cellStyle name="40% - Accent5 19 2" xfId="4331"/>
    <cellStyle name="40% - Accent5 19 2 2" xfId="11720"/>
    <cellStyle name="40% - Accent5 19 2 2 2" xfId="25440"/>
    <cellStyle name="40% - Accent5 19 2 3" xfId="23045"/>
    <cellStyle name="40% - Accent5 19 3" xfId="4332"/>
    <cellStyle name="40% - Accent5 19 3 2" xfId="12952"/>
    <cellStyle name="40% - Accent5 19 3 2 2" xfId="26664"/>
    <cellStyle name="40% - Accent5 19 3 3" xfId="23044"/>
    <cellStyle name="40% - Accent5 19 4" xfId="4333"/>
    <cellStyle name="40% - Accent5 19 4 2" xfId="15386"/>
    <cellStyle name="40% - Accent5 19 4 2 2" xfId="28935"/>
    <cellStyle name="40% - Accent5 19 4 3" xfId="24275"/>
    <cellStyle name="40% - Accent5 19 5" xfId="10472"/>
    <cellStyle name="40% - Accent5 19 5 2" xfId="24431"/>
    <cellStyle name="40% - Accent5 19 6" xfId="25286"/>
    <cellStyle name="40% - Accent5 2" xfId="4334"/>
    <cellStyle name="40% - Accent5 2 10" xfId="4335"/>
    <cellStyle name="40% - Accent5 2 10 2" xfId="4336"/>
    <cellStyle name="40% - Accent5 2 10 2 2" xfId="15388"/>
    <cellStyle name="40% - Accent5 2 10 2 2 2" xfId="28937"/>
    <cellStyle name="40% - Accent5 2 10 2 3" xfId="29161"/>
    <cellStyle name="40% - Accent5 2 10 3" xfId="11846"/>
    <cellStyle name="40% - Accent5 2 10 3 2" xfId="25561"/>
    <cellStyle name="40% - Accent5 2 10 4" xfId="23042"/>
    <cellStyle name="40% - Accent5 2 11" xfId="4337"/>
    <cellStyle name="40% - Accent5 2 11 2" xfId="12953"/>
    <cellStyle name="40% - Accent5 2 11 2 2" xfId="26665"/>
    <cellStyle name="40% - Accent5 2 11 3" xfId="23041"/>
    <cellStyle name="40% - Accent5 2 12" xfId="4338"/>
    <cellStyle name="40% - Accent5 2 12 2" xfId="13444"/>
    <cellStyle name="40% - Accent5 2 12 2 2" xfId="26993"/>
    <cellStyle name="40% - Accent5 2 12 3" xfId="23040"/>
    <cellStyle name="40% - Accent5 2 13" xfId="4339"/>
    <cellStyle name="40% - Accent5 2 13 2" xfId="14025"/>
    <cellStyle name="40% - Accent5 2 13 2 2" xfId="27574"/>
    <cellStyle name="40% - Accent5 2 13 3" xfId="26855"/>
    <cellStyle name="40% - Accent5 2 14" xfId="4340"/>
    <cellStyle name="40% - Accent5 2 14 2" xfId="15387"/>
    <cellStyle name="40% - Accent5 2 14 2 2" xfId="28936"/>
    <cellStyle name="40% - Accent5 2 14 3" xfId="23039"/>
    <cellStyle name="40% - Accent5 2 15" xfId="4341"/>
    <cellStyle name="40% - Accent5 2 15 2" xfId="15911"/>
    <cellStyle name="40% - Accent5 2 15 2 2" xfId="29318"/>
    <cellStyle name="40% - Accent5 2 15 3" xfId="23038"/>
    <cellStyle name="40% - Accent5 2 16" xfId="9445"/>
    <cellStyle name="40% - Accent5 2 16 2" xfId="23920"/>
    <cellStyle name="40% - Accent5 2 17" xfId="23043"/>
    <cellStyle name="40% - Accent5 2 18" xfId="33079"/>
    <cellStyle name="40% - Accent5 2 2" xfId="4342"/>
    <cellStyle name="40% - Accent5 2 2 10" xfId="4343"/>
    <cellStyle name="40% - Accent5 2 2 10 2" xfId="15389"/>
    <cellStyle name="40% - Accent5 2 2 10 2 2" xfId="28938"/>
    <cellStyle name="40% - Accent5 2 2 10 3" xfId="23037"/>
    <cellStyle name="40% - Accent5 2 2 11" xfId="4344"/>
    <cellStyle name="40% - Accent5 2 2 11 2" xfId="15957"/>
    <cellStyle name="40% - Accent5 2 2 11 2 2" xfId="29364"/>
    <cellStyle name="40% - Accent5 2 2 11 3" xfId="25285"/>
    <cellStyle name="40% - Accent5 2 2 12" xfId="9446"/>
    <cellStyle name="40% - Accent5 2 2 12 2" xfId="23921"/>
    <cellStyle name="40% - Accent5 2 2 13" xfId="24276"/>
    <cellStyle name="40% - Accent5 2 2 2" xfId="4345"/>
    <cellStyle name="40% - Accent5 2 2 2 10" xfId="4346"/>
    <cellStyle name="40% - Accent5 2 2 2 10 2" xfId="16100"/>
    <cellStyle name="40% - Accent5 2 2 2 10 2 2" xfId="29507"/>
    <cellStyle name="40% - Accent5 2 2 2 10 3" xfId="23035"/>
    <cellStyle name="40% - Accent5 2 2 2 11" xfId="9447"/>
    <cellStyle name="40% - Accent5 2 2 2 11 2" xfId="23922"/>
    <cellStyle name="40% - Accent5 2 2 2 12" xfId="23036"/>
    <cellStyle name="40% - Accent5 2 2 2 2" xfId="4347"/>
    <cellStyle name="40% - Accent5 2 2 2 2 10" xfId="9448"/>
    <cellStyle name="40% - Accent5 2 2 2 2 10 2" xfId="23923"/>
    <cellStyle name="40% - Accent5 2 2 2 2 11" xfId="23034"/>
    <cellStyle name="40% - Accent5 2 2 2 2 2" xfId="4348"/>
    <cellStyle name="40% - Accent5 2 2 2 2 2 2" xfId="4349"/>
    <cellStyle name="40% - Accent5 2 2 2 2 2 2 2" xfId="11176"/>
    <cellStyle name="40% - Accent5 2 2 2 2 2 2 2 2" xfId="25118"/>
    <cellStyle name="40% - Accent5 2 2 2 2 2 2 3" xfId="24273"/>
    <cellStyle name="40% - Accent5 2 2 2 2 2 3" xfId="4350"/>
    <cellStyle name="40% - Accent5 2 2 2 2 2 3 2" xfId="12957"/>
    <cellStyle name="40% - Accent5 2 2 2 2 2 3 2 2" xfId="26669"/>
    <cellStyle name="40% - Accent5 2 2 2 2 2 3 3" xfId="23032"/>
    <cellStyle name="40% - Accent5 2 2 2 2 2 4" xfId="4351"/>
    <cellStyle name="40% - Accent5 2 2 2 2 2 4 2" xfId="15392"/>
    <cellStyle name="40% - Accent5 2 2 2 2 2 4 2 2" xfId="28941"/>
    <cellStyle name="40% - Accent5 2 2 2 2 2 4 3" xfId="23031"/>
    <cellStyle name="40% - Accent5 2 2 2 2 2 5" xfId="4352"/>
    <cellStyle name="40% - Accent5 2 2 2 2 2 5 2" xfId="16970"/>
    <cellStyle name="40% - Accent5 2 2 2 2 2 5 2 2" xfId="30377"/>
    <cellStyle name="40% - Accent5 2 2 2 2 2 5 3" xfId="23030"/>
    <cellStyle name="40% - Accent5 2 2 2 2 2 6" xfId="9449"/>
    <cellStyle name="40% - Accent5 2 2 2 2 2 6 2" xfId="23924"/>
    <cellStyle name="40% - Accent5 2 2 2 2 2 7" xfId="23033"/>
    <cellStyle name="40% - Accent5 2 2 2 2 3" xfId="4353"/>
    <cellStyle name="40% - Accent5 2 2 2 2 3 2" xfId="4354"/>
    <cellStyle name="40% - Accent5 2 2 2 2 3 2 2" xfId="15393"/>
    <cellStyle name="40% - Accent5 2 2 2 2 3 2 2 2" xfId="28942"/>
    <cellStyle name="40% - Accent5 2 2 2 2 3 2 3" xfId="23029"/>
    <cellStyle name="40% - Accent5 2 2 2 2 3 3" xfId="11175"/>
    <cellStyle name="40% - Accent5 2 2 2 2 3 3 2" xfId="25117"/>
    <cellStyle name="40% - Accent5 2 2 2 2 3 4" xfId="29160"/>
    <cellStyle name="40% - Accent5 2 2 2 2 4" xfId="4355"/>
    <cellStyle name="40% - Accent5 2 2 2 2 4 2" xfId="12358"/>
    <cellStyle name="40% - Accent5 2 2 2 2 4 2 2" xfId="26070"/>
    <cellStyle name="40% - Accent5 2 2 2 2 4 3" xfId="23028"/>
    <cellStyle name="40% - Accent5 2 2 2 2 5" xfId="4356"/>
    <cellStyle name="40% - Accent5 2 2 2 2 5 2" xfId="12956"/>
    <cellStyle name="40% - Accent5 2 2 2 2 5 2 2" xfId="26668"/>
    <cellStyle name="40% - Accent5 2 2 2 2 5 3" xfId="26854"/>
    <cellStyle name="40% - Accent5 2 2 2 2 6" xfId="4357"/>
    <cellStyle name="40% - Accent5 2 2 2 2 6 2" xfId="13922"/>
    <cellStyle name="40% - Accent5 2 2 2 2 6 2 2" xfId="27471"/>
    <cellStyle name="40% - Accent5 2 2 2 2 6 3" xfId="23027"/>
    <cellStyle name="40% - Accent5 2 2 2 2 7" xfId="4358"/>
    <cellStyle name="40% - Accent5 2 2 2 2 7 2" xfId="14503"/>
    <cellStyle name="40% - Accent5 2 2 2 2 7 2 2" xfId="28052"/>
    <cellStyle name="40% - Accent5 2 2 2 2 7 3" xfId="23026"/>
    <cellStyle name="40% - Accent5 2 2 2 2 8" xfId="4359"/>
    <cellStyle name="40% - Accent5 2 2 2 2 8 2" xfId="15391"/>
    <cellStyle name="40% - Accent5 2 2 2 2 8 2 2" xfId="28940"/>
    <cellStyle name="40% - Accent5 2 2 2 2 8 3" xfId="24272"/>
    <cellStyle name="40% - Accent5 2 2 2 2 9" xfId="4360"/>
    <cellStyle name="40% - Accent5 2 2 2 2 9 2" xfId="16389"/>
    <cellStyle name="40% - Accent5 2 2 2 2 9 2 2" xfId="29796"/>
    <cellStyle name="40% - Accent5 2 2 2 2 9 3" xfId="25284"/>
    <cellStyle name="40% - Accent5 2 2 2 3" xfId="4361"/>
    <cellStyle name="40% - Accent5 2 2 2 3 2" xfId="4362"/>
    <cellStyle name="40% - Accent5 2 2 2 3 2 2" xfId="11177"/>
    <cellStyle name="40% - Accent5 2 2 2 3 2 2 2" xfId="25119"/>
    <cellStyle name="40% - Accent5 2 2 2 3 2 3" xfId="23024"/>
    <cellStyle name="40% - Accent5 2 2 2 3 3" xfId="4363"/>
    <cellStyle name="40% - Accent5 2 2 2 3 3 2" xfId="12958"/>
    <cellStyle name="40% - Accent5 2 2 2 3 3 2 2" xfId="26670"/>
    <cellStyle name="40% - Accent5 2 2 2 3 3 3" xfId="24271"/>
    <cellStyle name="40% - Accent5 2 2 2 3 4" xfId="4364"/>
    <cellStyle name="40% - Accent5 2 2 2 3 4 2" xfId="15394"/>
    <cellStyle name="40% - Accent5 2 2 2 3 4 2 2" xfId="28943"/>
    <cellStyle name="40% - Accent5 2 2 2 3 4 3" xfId="23023"/>
    <cellStyle name="40% - Accent5 2 2 2 3 5" xfId="4365"/>
    <cellStyle name="40% - Accent5 2 2 2 3 5 2" xfId="16681"/>
    <cellStyle name="40% - Accent5 2 2 2 3 5 2 2" xfId="30088"/>
    <cellStyle name="40% - Accent5 2 2 2 3 5 3" xfId="23022"/>
    <cellStyle name="40% - Accent5 2 2 2 3 6" xfId="9450"/>
    <cellStyle name="40% - Accent5 2 2 2 3 6 2" xfId="23925"/>
    <cellStyle name="40% - Accent5 2 2 2 3 7" xfId="23025"/>
    <cellStyle name="40% - Accent5 2 2 2 4" xfId="4366"/>
    <cellStyle name="40% - Accent5 2 2 2 4 2" xfId="4367"/>
    <cellStyle name="40% - Accent5 2 2 2 4 2 2" xfId="15395"/>
    <cellStyle name="40% - Accent5 2 2 2 4 2 2 2" xfId="28944"/>
    <cellStyle name="40% - Accent5 2 2 2 4 2 3" xfId="23021"/>
    <cellStyle name="40% - Accent5 2 2 2 4 3" xfId="11174"/>
    <cellStyle name="40% - Accent5 2 2 2 4 3 2" xfId="25116"/>
    <cellStyle name="40% - Accent5 2 2 2 4 4" xfId="24269"/>
    <cellStyle name="40% - Accent5 2 2 2 5" xfId="4368"/>
    <cellStyle name="40% - Accent5 2 2 2 5 2" xfId="12058"/>
    <cellStyle name="40% - Accent5 2 2 2 5 2 2" xfId="25773"/>
    <cellStyle name="40% - Accent5 2 2 2 5 3" xfId="23020"/>
    <cellStyle name="40% - Accent5 2 2 2 6" xfId="4369"/>
    <cellStyle name="40% - Accent5 2 2 2 6 2" xfId="12955"/>
    <cellStyle name="40% - Accent5 2 2 2 6 2 2" xfId="26667"/>
    <cellStyle name="40% - Accent5 2 2 2 6 3" xfId="29159"/>
    <cellStyle name="40% - Accent5 2 2 2 7" xfId="4370"/>
    <cellStyle name="40% - Accent5 2 2 2 7 2" xfId="13633"/>
    <cellStyle name="40% - Accent5 2 2 2 7 2 2" xfId="27182"/>
    <cellStyle name="40% - Accent5 2 2 2 7 3" xfId="23019"/>
    <cellStyle name="40% - Accent5 2 2 2 8" xfId="4371"/>
    <cellStyle name="40% - Accent5 2 2 2 8 2" xfId="14214"/>
    <cellStyle name="40% - Accent5 2 2 2 8 2 2" xfId="27763"/>
    <cellStyle name="40% - Accent5 2 2 2 8 3" xfId="23018"/>
    <cellStyle name="40% - Accent5 2 2 2 9" xfId="4372"/>
    <cellStyle name="40% - Accent5 2 2 2 9 2" xfId="15390"/>
    <cellStyle name="40% - Accent5 2 2 2 9 2 2" xfId="28939"/>
    <cellStyle name="40% - Accent5 2 2 2 9 3" xfId="26853"/>
    <cellStyle name="40% - Accent5 2 2 3" xfId="4373"/>
    <cellStyle name="40% - Accent5 2 2 3 10" xfId="9451"/>
    <cellStyle name="40% - Accent5 2 2 3 10 2" xfId="23926"/>
    <cellStyle name="40% - Accent5 2 2 3 11" xfId="23017"/>
    <cellStyle name="40% - Accent5 2 2 3 2" xfId="4374"/>
    <cellStyle name="40% - Accent5 2 2 3 2 2" xfId="4375"/>
    <cellStyle name="40% - Accent5 2 2 3 2 2 2" xfId="11179"/>
    <cellStyle name="40% - Accent5 2 2 3 2 2 2 2" xfId="25121"/>
    <cellStyle name="40% - Accent5 2 2 3 2 2 3" xfId="24270"/>
    <cellStyle name="40% - Accent5 2 2 3 2 3" xfId="4376"/>
    <cellStyle name="40% - Accent5 2 2 3 2 3 2" xfId="12960"/>
    <cellStyle name="40% - Accent5 2 2 3 2 3 2 2" xfId="26672"/>
    <cellStyle name="40% - Accent5 2 2 3 2 3 3" xfId="23015"/>
    <cellStyle name="40% - Accent5 2 2 3 2 4" xfId="4377"/>
    <cellStyle name="40% - Accent5 2 2 3 2 4 2" xfId="15397"/>
    <cellStyle name="40% - Accent5 2 2 3 2 4 2 2" xfId="28946"/>
    <cellStyle name="40% - Accent5 2 2 3 2 4 3" xfId="25283"/>
    <cellStyle name="40% - Accent5 2 2 3 2 5" xfId="4378"/>
    <cellStyle name="40% - Accent5 2 2 3 2 5 2" xfId="16827"/>
    <cellStyle name="40% - Accent5 2 2 3 2 5 2 2" xfId="30234"/>
    <cellStyle name="40% - Accent5 2 2 3 2 5 3" xfId="23014"/>
    <cellStyle name="40% - Accent5 2 2 3 2 6" xfId="9452"/>
    <cellStyle name="40% - Accent5 2 2 3 2 6 2" xfId="23927"/>
    <cellStyle name="40% - Accent5 2 2 3 2 7" xfId="23016"/>
    <cellStyle name="40% - Accent5 2 2 3 3" xfId="4379"/>
    <cellStyle name="40% - Accent5 2 2 3 3 2" xfId="4380"/>
    <cellStyle name="40% - Accent5 2 2 3 3 2 2" xfId="15398"/>
    <cellStyle name="40% - Accent5 2 2 3 3 2 2 2" xfId="28947"/>
    <cellStyle name="40% - Accent5 2 2 3 3 2 3" xfId="23012"/>
    <cellStyle name="40% - Accent5 2 2 3 3 3" xfId="11178"/>
    <cellStyle name="40% - Accent5 2 2 3 3 3 2" xfId="25120"/>
    <cellStyle name="40% - Accent5 2 2 3 3 4" xfId="23013"/>
    <cellStyle name="40% - Accent5 2 2 3 4" xfId="4381"/>
    <cellStyle name="40% - Accent5 2 2 3 4 2" xfId="12215"/>
    <cellStyle name="40% - Accent5 2 2 3 4 2 2" xfId="25927"/>
    <cellStyle name="40% - Accent5 2 2 3 4 3" xfId="24265"/>
    <cellStyle name="40% - Accent5 2 2 3 5" xfId="4382"/>
    <cellStyle name="40% - Accent5 2 2 3 5 2" xfId="12959"/>
    <cellStyle name="40% - Accent5 2 2 3 5 2 2" xfId="26671"/>
    <cellStyle name="40% - Accent5 2 2 3 5 3" xfId="23011"/>
    <cellStyle name="40% - Accent5 2 2 3 6" xfId="4383"/>
    <cellStyle name="40% - Accent5 2 2 3 6 2" xfId="13779"/>
    <cellStyle name="40% - Accent5 2 2 3 6 2 2" xfId="27328"/>
    <cellStyle name="40% - Accent5 2 2 3 6 3" xfId="23010"/>
    <cellStyle name="40% - Accent5 2 2 3 7" xfId="4384"/>
    <cellStyle name="40% - Accent5 2 2 3 7 2" xfId="14360"/>
    <cellStyle name="40% - Accent5 2 2 3 7 2 2" xfId="27909"/>
    <cellStyle name="40% - Accent5 2 2 3 7 3" xfId="29158"/>
    <cellStyle name="40% - Accent5 2 2 3 8" xfId="4385"/>
    <cellStyle name="40% - Accent5 2 2 3 8 2" xfId="15396"/>
    <cellStyle name="40% - Accent5 2 2 3 8 2 2" xfId="28945"/>
    <cellStyle name="40% - Accent5 2 2 3 8 3" xfId="23009"/>
    <cellStyle name="40% - Accent5 2 2 3 9" xfId="4386"/>
    <cellStyle name="40% - Accent5 2 2 3 9 2" xfId="16246"/>
    <cellStyle name="40% - Accent5 2 2 3 9 2 2" xfId="29653"/>
    <cellStyle name="40% - Accent5 2 2 3 9 3" xfId="23008"/>
    <cellStyle name="40% - Accent5 2 2 4" xfId="4387"/>
    <cellStyle name="40% - Accent5 2 2 4 2" xfId="4388"/>
    <cellStyle name="40% - Accent5 2 2 4 2 2" xfId="11180"/>
    <cellStyle name="40% - Accent5 2 2 4 2 2 2" xfId="25122"/>
    <cellStyle name="40% - Accent5 2 2 4 2 3" xfId="23007"/>
    <cellStyle name="40% - Accent5 2 2 4 3" xfId="4389"/>
    <cellStyle name="40% - Accent5 2 2 4 3 2" xfId="12961"/>
    <cellStyle name="40% - Accent5 2 2 4 3 2 2" xfId="26673"/>
    <cellStyle name="40% - Accent5 2 2 4 3 3" xfId="23006"/>
    <cellStyle name="40% - Accent5 2 2 4 4" xfId="4390"/>
    <cellStyle name="40% - Accent5 2 2 4 4 2" xfId="15399"/>
    <cellStyle name="40% - Accent5 2 2 4 4 2 2" xfId="28948"/>
    <cellStyle name="40% - Accent5 2 2 4 4 3" xfId="24268"/>
    <cellStyle name="40% - Accent5 2 2 4 5" xfId="4391"/>
    <cellStyle name="40% - Accent5 2 2 4 5 2" xfId="17174"/>
    <cellStyle name="40% - Accent5 2 2 4 5 2 2" xfId="30533"/>
    <cellStyle name="40% - Accent5 2 2 4 5 3" xfId="23005"/>
    <cellStyle name="40% - Accent5 2 2 4 6" xfId="9453"/>
    <cellStyle name="40% - Accent5 2 2 4 6 2" xfId="23928"/>
    <cellStyle name="40% - Accent5 2 2 4 7" xfId="26852"/>
    <cellStyle name="40% - Accent5 2 2 5" xfId="4392"/>
    <cellStyle name="40% - Accent5 2 2 5 2" xfId="4393"/>
    <cellStyle name="40% - Accent5 2 2 5 2 2" xfId="15400"/>
    <cellStyle name="40% - Accent5 2 2 5 2 2 2" xfId="28949"/>
    <cellStyle name="40% - Accent5 2 2 5 2 3" xfId="23004"/>
    <cellStyle name="40% - Accent5 2 2 5 3" xfId="4394"/>
    <cellStyle name="40% - Accent5 2 2 5 3 2" xfId="17263"/>
    <cellStyle name="40% - Accent5 2 2 5 3 2 2" xfId="30622"/>
    <cellStyle name="40% - Accent5 2 2 5 3 3" xfId="23003"/>
    <cellStyle name="40% - Accent5 2 2 5 4" xfId="11173"/>
    <cellStyle name="40% - Accent5 2 2 5 4 2" xfId="25115"/>
    <cellStyle name="40% - Accent5 2 2 5 5" xfId="25282"/>
    <cellStyle name="40% - Accent5 2 2 6" xfId="4395"/>
    <cellStyle name="40% - Accent5 2 2 6 2" xfId="4396"/>
    <cellStyle name="40% - Accent5 2 2 6 2 2" xfId="16538"/>
    <cellStyle name="40% - Accent5 2 2 6 2 2 2" xfId="29945"/>
    <cellStyle name="40% - Accent5 2 2 6 2 3" xfId="23002"/>
    <cellStyle name="40% - Accent5 2 2 6 3" xfId="11913"/>
    <cellStyle name="40% - Accent5 2 2 6 3 2" xfId="25628"/>
    <cellStyle name="40% - Accent5 2 2 6 4" xfId="24266"/>
    <cellStyle name="40% - Accent5 2 2 7" xfId="4397"/>
    <cellStyle name="40% - Accent5 2 2 7 2" xfId="12954"/>
    <cellStyle name="40% - Accent5 2 2 7 2 2" xfId="26666"/>
    <cellStyle name="40% - Accent5 2 2 7 3" xfId="23001"/>
    <cellStyle name="40% - Accent5 2 2 8" xfId="4398"/>
    <cellStyle name="40% - Accent5 2 2 8 2" xfId="13490"/>
    <cellStyle name="40% - Accent5 2 2 8 2 2" xfId="27039"/>
    <cellStyle name="40% - Accent5 2 2 8 3" xfId="29157"/>
    <cellStyle name="40% - Accent5 2 2 9" xfId="4399"/>
    <cellStyle name="40% - Accent5 2 2 9 2" xfId="14071"/>
    <cellStyle name="40% - Accent5 2 2 9 2 2" xfId="27620"/>
    <cellStyle name="40% - Accent5 2 2 9 3" xfId="23000"/>
    <cellStyle name="40% - Accent5 2 3" xfId="4400"/>
    <cellStyle name="40% - Accent5 2 3 10" xfId="4401"/>
    <cellStyle name="40% - Accent5 2 3 10 2" xfId="16054"/>
    <cellStyle name="40% - Accent5 2 3 10 2 2" xfId="29461"/>
    <cellStyle name="40% - Accent5 2 3 10 3" xfId="26851"/>
    <cellStyle name="40% - Accent5 2 3 11" xfId="9454"/>
    <cellStyle name="40% - Accent5 2 3 11 2" xfId="23929"/>
    <cellStyle name="40% - Accent5 2 3 12" xfId="22999"/>
    <cellStyle name="40% - Accent5 2 3 2" xfId="4402"/>
    <cellStyle name="40% - Accent5 2 3 2 10" xfId="9455"/>
    <cellStyle name="40% - Accent5 2 3 2 10 2" xfId="23930"/>
    <cellStyle name="40% - Accent5 2 3 2 11" xfId="22998"/>
    <cellStyle name="40% - Accent5 2 3 2 2" xfId="4403"/>
    <cellStyle name="40% - Accent5 2 3 2 2 2" xfId="4404"/>
    <cellStyle name="40% - Accent5 2 3 2 2 2 2" xfId="11183"/>
    <cellStyle name="40% - Accent5 2 3 2 2 2 2 2" xfId="25125"/>
    <cellStyle name="40% - Accent5 2 3 2 2 2 3" xfId="24267"/>
    <cellStyle name="40% - Accent5 2 3 2 2 3" xfId="4405"/>
    <cellStyle name="40% - Accent5 2 3 2 2 3 2" xfId="12964"/>
    <cellStyle name="40% - Accent5 2 3 2 2 3 2 2" xfId="26676"/>
    <cellStyle name="40% - Accent5 2 3 2 2 3 3" xfId="22996"/>
    <cellStyle name="40% - Accent5 2 3 2 2 4" xfId="4406"/>
    <cellStyle name="40% - Accent5 2 3 2 2 4 2" xfId="15403"/>
    <cellStyle name="40% - Accent5 2 3 2 2 4 2 2" xfId="28952"/>
    <cellStyle name="40% - Accent5 2 3 2 2 4 3" xfId="25281"/>
    <cellStyle name="40% - Accent5 2 3 2 2 5" xfId="4407"/>
    <cellStyle name="40% - Accent5 2 3 2 2 5 2" xfId="16924"/>
    <cellStyle name="40% - Accent5 2 3 2 2 5 2 2" xfId="30331"/>
    <cellStyle name="40% - Accent5 2 3 2 2 5 3" xfId="22995"/>
    <cellStyle name="40% - Accent5 2 3 2 2 6" xfId="9456"/>
    <cellStyle name="40% - Accent5 2 3 2 2 6 2" xfId="23931"/>
    <cellStyle name="40% - Accent5 2 3 2 2 7" xfId="22997"/>
    <cellStyle name="40% - Accent5 2 3 2 3" xfId="4408"/>
    <cellStyle name="40% - Accent5 2 3 2 3 2" xfId="4409"/>
    <cellStyle name="40% - Accent5 2 3 2 3 2 2" xfId="15404"/>
    <cellStyle name="40% - Accent5 2 3 2 3 2 2 2" xfId="28953"/>
    <cellStyle name="40% - Accent5 2 3 2 3 2 3" xfId="22993"/>
    <cellStyle name="40% - Accent5 2 3 2 3 3" xfId="11182"/>
    <cellStyle name="40% - Accent5 2 3 2 3 3 2" xfId="25124"/>
    <cellStyle name="40% - Accent5 2 3 2 3 4" xfId="22994"/>
    <cellStyle name="40% - Accent5 2 3 2 4" xfId="4410"/>
    <cellStyle name="40% - Accent5 2 3 2 4 2" xfId="12312"/>
    <cellStyle name="40% - Accent5 2 3 2 4 2 2" xfId="26024"/>
    <cellStyle name="40% - Accent5 2 3 2 4 3" xfId="22992"/>
    <cellStyle name="40% - Accent5 2 3 2 5" xfId="4411"/>
    <cellStyle name="40% - Accent5 2 3 2 5 2" xfId="12963"/>
    <cellStyle name="40% - Accent5 2 3 2 5 2 2" xfId="26675"/>
    <cellStyle name="40% - Accent5 2 3 2 5 3" xfId="24264"/>
    <cellStyle name="40% - Accent5 2 3 2 6" xfId="4412"/>
    <cellStyle name="40% - Accent5 2 3 2 6 2" xfId="13876"/>
    <cellStyle name="40% - Accent5 2 3 2 6 2 2" xfId="27425"/>
    <cellStyle name="40% - Accent5 2 3 2 6 3" xfId="22991"/>
    <cellStyle name="40% - Accent5 2 3 2 7" xfId="4413"/>
    <cellStyle name="40% - Accent5 2 3 2 7 2" xfId="14457"/>
    <cellStyle name="40% - Accent5 2 3 2 7 2 2" xfId="28006"/>
    <cellStyle name="40% - Accent5 2 3 2 7 3" xfId="30657"/>
    <cellStyle name="40% - Accent5 2 3 2 8" xfId="4414"/>
    <cellStyle name="40% - Accent5 2 3 2 8 2" xfId="15402"/>
    <cellStyle name="40% - Accent5 2 3 2 8 2 2" xfId="28951"/>
    <cellStyle name="40% - Accent5 2 3 2 8 3" xfId="22990"/>
    <cellStyle name="40% - Accent5 2 3 2 9" xfId="4415"/>
    <cellStyle name="40% - Accent5 2 3 2 9 2" xfId="16343"/>
    <cellStyle name="40% - Accent5 2 3 2 9 2 2" xfId="29750"/>
    <cellStyle name="40% - Accent5 2 3 2 9 3" xfId="22989"/>
    <cellStyle name="40% - Accent5 2 3 3" xfId="4416"/>
    <cellStyle name="40% - Accent5 2 3 3 2" xfId="4417"/>
    <cellStyle name="40% - Accent5 2 3 3 2 2" xfId="11184"/>
    <cellStyle name="40% - Accent5 2 3 3 2 2 2" xfId="25126"/>
    <cellStyle name="40% - Accent5 2 3 3 2 3" xfId="22987"/>
    <cellStyle name="40% - Accent5 2 3 3 3" xfId="4418"/>
    <cellStyle name="40% - Accent5 2 3 3 3 2" xfId="12965"/>
    <cellStyle name="40% - Accent5 2 3 3 3 2 2" xfId="26677"/>
    <cellStyle name="40% - Accent5 2 3 3 3 3" xfId="29156"/>
    <cellStyle name="40% - Accent5 2 3 3 4" xfId="4419"/>
    <cellStyle name="40% - Accent5 2 3 3 4 2" xfId="15405"/>
    <cellStyle name="40% - Accent5 2 3 3 4 2 2" xfId="28954"/>
    <cellStyle name="40% - Accent5 2 3 3 4 3" xfId="22986"/>
    <cellStyle name="40% - Accent5 2 3 3 5" xfId="4420"/>
    <cellStyle name="40% - Accent5 2 3 3 5 2" xfId="16635"/>
    <cellStyle name="40% - Accent5 2 3 3 5 2 2" xfId="30042"/>
    <cellStyle name="40% - Accent5 2 3 3 5 3" xfId="22985"/>
    <cellStyle name="40% - Accent5 2 3 3 6" xfId="9457"/>
    <cellStyle name="40% - Accent5 2 3 3 6 2" xfId="23932"/>
    <cellStyle name="40% - Accent5 2 3 3 7" xfId="22988"/>
    <cellStyle name="40% - Accent5 2 3 4" xfId="4421"/>
    <cellStyle name="40% - Accent5 2 3 4 2" xfId="4422"/>
    <cellStyle name="40% - Accent5 2 3 4 2 2" xfId="15406"/>
    <cellStyle name="40% - Accent5 2 3 4 2 2 2" xfId="28955"/>
    <cellStyle name="40% - Accent5 2 3 4 2 3" xfId="22984"/>
    <cellStyle name="40% - Accent5 2 3 4 3" xfId="11181"/>
    <cellStyle name="40% - Accent5 2 3 4 3 2" xfId="25123"/>
    <cellStyle name="40% - Accent5 2 3 4 4" xfId="24263"/>
    <cellStyle name="40% - Accent5 2 3 5" xfId="4423"/>
    <cellStyle name="40% - Accent5 2 3 5 2" xfId="12012"/>
    <cellStyle name="40% - Accent5 2 3 5 2 2" xfId="25727"/>
    <cellStyle name="40% - Accent5 2 3 5 3" xfId="25280"/>
    <cellStyle name="40% - Accent5 2 3 6" xfId="4424"/>
    <cellStyle name="40% - Accent5 2 3 6 2" xfId="12962"/>
    <cellStyle name="40% - Accent5 2 3 6 2 2" xfId="26674"/>
    <cellStyle name="40% - Accent5 2 3 6 3" xfId="22983"/>
    <cellStyle name="40% - Accent5 2 3 7" xfId="4425"/>
    <cellStyle name="40% - Accent5 2 3 7 2" xfId="13587"/>
    <cellStyle name="40% - Accent5 2 3 7 2 2" xfId="27136"/>
    <cellStyle name="40% - Accent5 2 3 7 3" xfId="22982"/>
    <cellStyle name="40% - Accent5 2 3 8" xfId="4426"/>
    <cellStyle name="40% - Accent5 2 3 8 2" xfId="14168"/>
    <cellStyle name="40% - Accent5 2 3 8 2 2" xfId="27717"/>
    <cellStyle name="40% - Accent5 2 3 8 3" xfId="24262"/>
    <cellStyle name="40% - Accent5 2 3 9" xfId="4427"/>
    <cellStyle name="40% - Accent5 2 3 9 2" xfId="15401"/>
    <cellStyle name="40% - Accent5 2 3 9 2 2" xfId="28950"/>
    <cellStyle name="40% - Accent5 2 3 9 3" xfId="22981"/>
    <cellStyle name="40% - Accent5 2 4" xfId="4428"/>
    <cellStyle name="40% - Accent5 2 4 10" xfId="9458"/>
    <cellStyle name="40% - Accent5 2 4 10 2" xfId="23933"/>
    <cellStyle name="40% - Accent5 2 4 11" xfId="26850"/>
    <cellStyle name="40% - Accent5 2 4 2" xfId="4429"/>
    <cellStyle name="40% - Accent5 2 4 2 2" xfId="4430"/>
    <cellStyle name="40% - Accent5 2 4 2 2 2" xfId="11186"/>
    <cellStyle name="40% - Accent5 2 4 2 2 2 2" xfId="25128"/>
    <cellStyle name="40% - Accent5 2 4 2 2 3" xfId="22979"/>
    <cellStyle name="40% - Accent5 2 4 2 3" xfId="4431"/>
    <cellStyle name="40% - Accent5 2 4 2 3 2" xfId="12967"/>
    <cellStyle name="40% - Accent5 2 4 2 3 2 2" xfId="26679"/>
    <cellStyle name="40% - Accent5 2 4 2 3 3" xfId="24260"/>
    <cellStyle name="40% - Accent5 2 4 2 4" xfId="4432"/>
    <cellStyle name="40% - Accent5 2 4 2 4 2" xfId="15408"/>
    <cellStyle name="40% - Accent5 2 4 2 4 2 2" xfId="28957"/>
    <cellStyle name="40% - Accent5 2 4 2 4 3" xfId="22978"/>
    <cellStyle name="40% - Accent5 2 4 2 5" xfId="4433"/>
    <cellStyle name="40% - Accent5 2 4 2 5 2" xfId="16781"/>
    <cellStyle name="40% - Accent5 2 4 2 5 2 2" xfId="30188"/>
    <cellStyle name="40% - Accent5 2 4 2 5 3" xfId="22977"/>
    <cellStyle name="40% - Accent5 2 4 2 6" xfId="9459"/>
    <cellStyle name="40% - Accent5 2 4 2 6 2" xfId="23934"/>
    <cellStyle name="40% - Accent5 2 4 2 7" xfId="22980"/>
    <cellStyle name="40% - Accent5 2 4 3" xfId="4434"/>
    <cellStyle name="40% - Accent5 2 4 3 2" xfId="4435"/>
    <cellStyle name="40% - Accent5 2 4 3 2 2" xfId="15409"/>
    <cellStyle name="40% - Accent5 2 4 3 2 2 2" xfId="28958"/>
    <cellStyle name="40% - Accent5 2 4 3 2 3" xfId="22976"/>
    <cellStyle name="40% - Accent5 2 4 3 3" xfId="11185"/>
    <cellStyle name="40% - Accent5 2 4 3 3 2" xfId="25127"/>
    <cellStyle name="40% - Accent5 2 4 3 4" xfId="29155"/>
    <cellStyle name="40% - Accent5 2 4 4" xfId="4436"/>
    <cellStyle name="40% - Accent5 2 4 4 2" xfId="12169"/>
    <cellStyle name="40% - Accent5 2 4 4 2 2" xfId="25881"/>
    <cellStyle name="40% - Accent5 2 4 4 3" xfId="22975"/>
    <cellStyle name="40% - Accent5 2 4 5" xfId="4437"/>
    <cellStyle name="40% - Accent5 2 4 5 2" xfId="12966"/>
    <cellStyle name="40% - Accent5 2 4 5 2 2" xfId="26678"/>
    <cellStyle name="40% - Accent5 2 4 5 3" xfId="26849"/>
    <cellStyle name="40% - Accent5 2 4 6" xfId="4438"/>
    <cellStyle name="40% - Accent5 2 4 6 2" xfId="13733"/>
    <cellStyle name="40% - Accent5 2 4 6 2 2" xfId="27282"/>
    <cellStyle name="40% - Accent5 2 4 6 3" xfId="22974"/>
    <cellStyle name="40% - Accent5 2 4 7" xfId="4439"/>
    <cellStyle name="40% - Accent5 2 4 7 2" xfId="14314"/>
    <cellStyle name="40% - Accent5 2 4 7 2 2" xfId="27863"/>
    <cellStyle name="40% - Accent5 2 4 7 3" xfId="22973"/>
    <cellStyle name="40% - Accent5 2 4 8" xfId="4440"/>
    <cellStyle name="40% - Accent5 2 4 8 2" xfId="15407"/>
    <cellStyle name="40% - Accent5 2 4 8 2 2" xfId="28956"/>
    <cellStyle name="40% - Accent5 2 4 8 3" xfId="24261"/>
    <cellStyle name="40% - Accent5 2 4 9" xfId="4441"/>
    <cellStyle name="40% - Accent5 2 4 9 2" xfId="16200"/>
    <cellStyle name="40% - Accent5 2 4 9 2 2" xfId="29607"/>
    <cellStyle name="40% - Accent5 2 4 9 3" xfId="22972"/>
    <cellStyle name="40% - Accent5 2 5" xfId="4442"/>
    <cellStyle name="40% - Accent5 2 5 2" xfId="4443"/>
    <cellStyle name="40% - Accent5 2 5 2 2" xfId="4444"/>
    <cellStyle name="40% - Accent5 2 5 2 2 2" xfId="11188"/>
    <cellStyle name="40% - Accent5 2 5 2 2 2 2" xfId="25130"/>
    <cellStyle name="40% - Accent5 2 5 2 2 3" xfId="22970"/>
    <cellStyle name="40% - Accent5 2 5 2 3" xfId="4445"/>
    <cellStyle name="40% - Accent5 2 5 2 3 2" xfId="12969"/>
    <cellStyle name="40% - Accent5 2 5 2 3 2 2" xfId="26681"/>
    <cellStyle name="40% - Accent5 2 5 2 3 3" xfId="22969"/>
    <cellStyle name="40% - Accent5 2 5 2 4" xfId="4446"/>
    <cellStyle name="40% - Accent5 2 5 2 4 2" xfId="15411"/>
    <cellStyle name="40% - Accent5 2 5 2 4 2 2" xfId="28960"/>
    <cellStyle name="40% - Accent5 2 5 2 4 3" xfId="24256"/>
    <cellStyle name="40% - Accent5 2 5 2 5" xfId="9461"/>
    <cellStyle name="40% - Accent5 2 5 2 5 2" xfId="23936"/>
    <cellStyle name="40% - Accent5 2 5 2 6" xfId="22971"/>
    <cellStyle name="40% - Accent5 2 5 3" xfId="4447"/>
    <cellStyle name="40% - Accent5 2 5 3 2" xfId="11187"/>
    <cellStyle name="40% - Accent5 2 5 3 2 2" xfId="25129"/>
    <cellStyle name="40% - Accent5 2 5 3 3" xfId="22968"/>
    <cellStyle name="40% - Accent5 2 5 4" xfId="4448"/>
    <cellStyle name="40% - Accent5 2 5 4 2" xfId="12968"/>
    <cellStyle name="40% - Accent5 2 5 4 2 2" xfId="26680"/>
    <cellStyle name="40% - Accent5 2 5 4 3" xfId="22967"/>
    <cellStyle name="40% - Accent5 2 5 5" xfId="4449"/>
    <cellStyle name="40% - Accent5 2 5 5 2" xfId="15410"/>
    <cellStyle name="40% - Accent5 2 5 5 2 2" xfId="28959"/>
    <cellStyle name="40% - Accent5 2 5 5 3" xfId="29154"/>
    <cellStyle name="40% - Accent5 2 5 6" xfId="4450"/>
    <cellStyle name="40% - Accent5 2 5 6 2" xfId="17017"/>
    <cellStyle name="40% - Accent5 2 5 6 2 2" xfId="30424"/>
    <cellStyle name="40% - Accent5 2 5 6 3" xfId="22966"/>
    <cellStyle name="40% - Accent5 2 5 7" xfId="9460"/>
    <cellStyle name="40% - Accent5 2 5 7 2" xfId="23935"/>
    <cellStyle name="40% - Accent5 2 5 8" xfId="25279"/>
    <cellStyle name="40% - Accent5 2 6" xfId="4451"/>
    <cellStyle name="40% - Accent5 2 6 2" xfId="4452"/>
    <cellStyle name="40% - Accent5 2 6 2 2" xfId="11189"/>
    <cellStyle name="40% - Accent5 2 6 2 2 2" xfId="25131"/>
    <cellStyle name="40% - Accent5 2 6 2 3" xfId="26848"/>
    <cellStyle name="40% - Accent5 2 6 3" xfId="4453"/>
    <cellStyle name="40% - Accent5 2 6 3 2" xfId="12970"/>
    <cellStyle name="40% - Accent5 2 6 3 2 2" xfId="26682"/>
    <cellStyle name="40% - Accent5 2 6 3 3" xfId="22964"/>
    <cellStyle name="40% - Accent5 2 6 4" xfId="4454"/>
    <cellStyle name="40% - Accent5 2 6 4 2" xfId="15412"/>
    <cellStyle name="40% - Accent5 2 6 4 2 2" xfId="28961"/>
    <cellStyle name="40% - Accent5 2 6 4 3" xfId="22963"/>
    <cellStyle name="40% - Accent5 2 6 5" xfId="4455"/>
    <cellStyle name="40% - Accent5 2 6 5 2" xfId="17128"/>
    <cellStyle name="40% - Accent5 2 6 5 2 2" xfId="30487"/>
    <cellStyle name="40% - Accent5 2 6 5 3" xfId="24259"/>
    <cellStyle name="40% - Accent5 2 6 6" xfId="9462"/>
    <cellStyle name="40% - Accent5 2 6 6 2" xfId="23937"/>
    <cellStyle name="40% - Accent5 2 6 7" xfId="22965"/>
    <cellStyle name="40% - Accent5 2 7" xfId="4456"/>
    <cellStyle name="40% - Accent5 2 7 2" xfId="4457"/>
    <cellStyle name="40% - Accent5 2 7 2 2" xfId="11190"/>
    <cellStyle name="40% - Accent5 2 7 2 2 2" xfId="25132"/>
    <cellStyle name="40% - Accent5 2 7 2 3" xfId="25278"/>
    <cellStyle name="40% - Accent5 2 7 3" xfId="4458"/>
    <cellStyle name="40% - Accent5 2 7 3 2" xfId="12971"/>
    <cellStyle name="40% - Accent5 2 7 3 2 2" xfId="26683"/>
    <cellStyle name="40% - Accent5 2 7 3 3" xfId="22961"/>
    <cellStyle name="40% - Accent5 2 7 4" xfId="4459"/>
    <cellStyle name="40% - Accent5 2 7 4 2" xfId="15413"/>
    <cellStyle name="40% - Accent5 2 7 4 2 2" xfId="28962"/>
    <cellStyle name="40% - Accent5 2 7 4 3" xfId="22960"/>
    <cellStyle name="40% - Accent5 2 7 5" xfId="4460"/>
    <cellStyle name="40% - Accent5 2 7 5 2" xfId="17217"/>
    <cellStyle name="40% - Accent5 2 7 5 2 2" xfId="30576"/>
    <cellStyle name="40% - Accent5 2 7 5 3" xfId="24257"/>
    <cellStyle name="40% - Accent5 2 7 6" xfId="9463"/>
    <cellStyle name="40% - Accent5 2 7 6 2" xfId="23938"/>
    <cellStyle name="40% - Accent5 2 7 7" xfId="22962"/>
    <cellStyle name="40% - Accent5 2 8" xfId="4461"/>
    <cellStyle name="40% - Accent5 2 8 2" xfId="4462"/>
    <cellStyle name="40% - Accent5 2 8 2 2" xfId="12972"/>
    <cellStyle name="40% - Accent5 2 8 2 2 2" xfId="26684"/>
    <cellStyle name="40% - Accent5 2 8 2 3" xfId="22958"/>
    <cellStyle name="40% - Accent5 2 8 3" xfId="4463"/>
    <cellStyle name="40% - Accent5 2 8 3 2" xfId="15414"/>
    <cellStyle name="40% - Accent5 2 8 3 2 2" xfId="28963"/>
    <cellStyle name="40% - Accent5 2 8 3 3" xfId="29153"/>
    <cellStyle name="40% - Accent5 2 8 4" xfId="4464"/>
    <cellStyle name="40% - Accent5 2 8 4 2" xfId="16492"/>
    <cellStyle name="40% - Accent5 2 8 4 2 2" xfId="29899"/>
    <cellStyle name="40% - Accent5 2 8 4 3" xfId="22957"/>
    <cellStyle name="40% - Accent5 2 8 5" xfId="10538"/>
    <cellStyle name="40% - Accent5 2 8 5 2" xfId="24480"/>
    <cellStyle name="40% - Accent5 2 8 6" xfId="22959"/>
    <cellStyle name="40% - Accent5 2 9" xfId="4465"/>
    <cellStyle name="40% - Accent5 2 9 2" xfId="4466"/>
    <cellStyle name="40% - Accent5 2 9 2 2" xfId="12973"/>
    <cellStyle name="40% - Accent5 2 9 2 2 2" xfId="26685"/>
    <cellStyle name="40% - Accent5 2 9 2 3" xfId="26847"/>
    <cellStyle name="40% - Accent5 2 9 3" xfId="4467"/>
    <cellStyle name="40% - Accent5 2 9 3 2" xfId="15415"/>
    <cellStyle name="40% - Accent5 2 9 3 2 2" xfId="28964"/>
    <cellStyle name="40% - Accent5 2 9 3 3" xfId="22955"/>
    <cellStyle name="40% - Accent5 2 9 4" xfId="11172"/>
    <cellStyle name="40% - Accent5 2 9 4 2" xfId="25114"/>
    <cellStyle name="40% - Accent5 2 9 5" xfId="22956"/>
    <cellStyle name="40% - Accent5 20" xfId="4468"/>
    <cellStyle name="40% - Accent5 20 2" xfId="4469"/>
    <cellStyle name="40% - Accent5 20 2 2" xfId="12974"/>
    <cellStyle name="40% - Accent5 20 2 2 2" xfId="26686"/>
    <cellStyle name="40% - Accent5 20 2 3" xfId="24258"/>
    <cellStyle name="40% - Accent5 20 3" xfId="4470"/>
    <cellStyle name="40% - Accent5 20 3 2" xfId="15416"/>
    <cellStyle name="40% - Accent5 20 3 2 2" xfId="28965"/>
    <cellStyle name="40% - Accent5 20 3 3" xfId="22953"/>
    <cellStyle name="40% - Accent5 20 4" xfId="10513"/>
    <cellStyle name="40% - Accent5 20 4 2" xfId="24461"/>
    <cellStyle name="40% - Accent5 20 5" xfId="22954"/>
    <cellStyle name="40% - Accent5 21" xfId="4471"/>
    <cellStyle name="40% - Accent5 21 2" xfId="4472"/>
    <cellStyle name="40% - Accent5 21 2 2" xfId="12975"/>
    <cellStyle name="40% - Accent5 21 2 2 2" xfId="26687"/>
    <cellStyle name="40% - Accent5 21 2 3" xfId="22952"/>
    <cellStyle name="40% - Accent5 21 3" xfId="4473"/>
    <cellStyle name="40% - Accent5 21 3 2" xfId="15417"/>
    <cellStyle name="40% - Accent5 21 3 2 2" xfId="28966"/>
    <cellStyle name="40% - Accent5 21 3 3" xfId="22951"/>
    <cellStyle name="40% - Accent5 21 4" xfId="11161"/>
    <cellStyle name="40% - Accent5 21 4 2" xfId="25103"/>
    <cellStyle name="40% - Accent5 21 5" xfId="25277"/>
    <cellStyle name="40% - Accent5 22" xfId="4474"/>
    <cellStyle name="40% - Accent5 22 2" xfId="11749"/>
    <cellStyle name="40% - Accent5 22 2 2" xfId="25464"/>
    <cellStyle name="40% - Accent5 22 3" xfId="22950"/>
    <cellStyle name="40% - Accent5 23" xfId="4475"/>
    <cellStyle name="40% - Accent5 23 2" xfId="12940"/>
    <cellStyle name="40% - Accent5 23 2 2" xfId="26652"/>
    <cellStyle name="40% - Accent5 23 3" xfId="22949"/>
    <cellStyle name="40% - Accent5 24" xfId="4476"/>
    <cellStyle name="40% - Accent5 24 2" xfId="13388"/>
    <cellStyle name="40% - Accent5 24 2 2" xfId="26937"/>
    <cellStyle name="40% - Accent5 24 3" xfId="24255"/>
    <cellStyle name="40% - Accent5 25" xfId="4477"/>
    <cellStyle name="40% - Accent5 25 2" xfId="13969"/>
    <cellStyle name="40% - Accent5 25 2 2" xfId="27518"/>
    <cellStyle name="40% - Accent5 25 3" xfId="23241"/>
    <cellStyle name="40% - Accent5 26" xfId="4478"/>
    <cellStyle name="40% - Accent5 26 2" xfId="15374"/>
    <cellStyle name="40% - Accent5 26 2 2" xfId="28923"/>
    <cellStyle name="40% - Accent5 26 3" xfId="30682"/>
    <cellStyle name="40% - Accent5 27" xfId="4479"/>
    <cellStyle name="40% - Accent5 27 2" xfId="15831"/>
    <cellStyle name="40% - Accent5 27 2 2" xfId="29238"/>
    <cellStyle name="40% - Accent5 27 3" xfId="22948"/>
    <cellStyle name="40% - Accent5 28" xfId="4480"/>
    <cellStyle name="40% - Accent5 28 2" xfId="15855"/>
    <cellStyle name="40% - Accent5 28 2 2" xfId="29262"/>
    <cellStyle name="40% - Accent5 28 3" xfId="22947"/>
    <cellStyle name="40% - Accent5 29" xfId="4481"/>
    <cellStyle name="40% - Accent5 29 2" xfId="9434"/>
    <cellStyle name="40% - Accent5 29 2 2" xfId="23909"/>
    <cellStyle name="40% - Accent5 29 3" xfId="24221"/>
    <cellStyle name="40% - Accent5 3" xfId="4482"/>
    <cellStyle name="40% - Accent5 3 10" xfId="4483"/>
    <cellStyle name="40% - Accent5 3 10 2" xfId="14048"/>
    <cellStyle name="40% - Accent5 3 10 2 2" xfId="27597"/>
    <cellStyle name="40% - Accent5 3 10 3" xfId="22946"/>
    <cellStyle name="40% - Accent5 3 11" xfId="4484"/>
    <cellStyle name="40% - Accent5 3 11 2" xfId="15418"/>
    <cellStyle name="40% - Accent5 3 11 2 2" xfId="28967"/>
    <cellStyle name="40% - Accent5 3 11 3" xfId="22945"/>
    <cellStyle name="40% - Accent5 3 12" xfId="4485"/>
    <cellStyle name="40% - Accent5 3 12 2" xfId="15934"/>
    <cellStyle name="40% - Accent5 3 12 2 2" xfId="29341"/>
    <cellStyle name="40% - Accent5 3 12 3" xfId="22944"/>
    <cellStyle name="40% - Accent5 3 13" xfId="9464"/>
    <cellStyle name="40% - Accent5 3 13 2" xfId="23939"/>
    <cellStyle name="40% - Accent5 3 14" xfId="23204"/>
    <cellStyle name="40% - Accent5 3 2" xfId="4486"/>
    <cellStyle name="40% - Accent5 3 2 10" xfId="4487"/>
    <cellStyle name="40% - Accent5 3 2 10 2" xfId="16077"/>
    <cellStyle name="40% - Accent5 3 2 10 2 2" xfId="29484"/>
    <cellStyle name="40% - Accent5 3 2 10 3" xfId="22942"/>
    <cellStyle name="40% - Accent5 3 2 11" xfId="9465"/>
    <cellStyle name="40% - Accent5 3 2 11 2" xfId="23940"/>
    <cellStyle name="40% - Accent5 3 2 12" xfId="22943"/>
    <cellStyle name="40% - Accent5 3 2 2" xfId="4488"/>
    <cellStyle name="40% - Accent5 3 2 2 10" xfId="9466"/>
    <cellStyle name="40% - Accent5 3 2 2 10 2" xfId="23941"/>
    <cellStyle name="40% - Accent5 3 2 2 11" xfId="25256"/>
    <cellStyle name="40% - Accent5 3 2 2 2" xfId="4489"/>
    <cellStyle name="40% - Accent5 3 2 2 2 2" xfId="4490"/>
    <cellStyle name="40% - Accent5 3 2 2 2 2 2" xfId="11194"/>
    <cellStyle name="40% - Accent5 3 2 2 2 2 2 2" xfId="25136"/>
    <cellStyle name="40% - Accent5 3 2 2 2 2 3" xfId="29152"/>
    <cellStyle name="40% - Accent5 3 2 2 2 3" xfId="4491"/>
    <cellStyle name="40% - Accent5 3 2 2 2 3 2" xfId="12979"/>
    <cellStyle name="40% - Accent5 3 2 2 2 3 2 2" xfId="26691"/>
    <cellStyle name="40% - Accent5 3 2 2 2 3 3" xfId="22940"/>
    <cellStyle name="40% - Accent5 3 2 2 2 4" xfId="4492"/>
    <cellStyle name="40% - Accent5 3 2 2 2 4 2" xfId="15421"/>
    <cellStyle name="40% - Accent5 3 2 2 2 4 2 2" xfId="28970"/>
    <cellStyle name="40% - Accent5 3 2 2 2 4 3" xfId="22939"/>
    <cellStyle name="40% - Accent5 3 2 2 2 5" xfId="4493"/>
    <cellStyle name="40% - Accent5 3 2 2 2 5 2" xfId="16947"/>
    <cellStyle name="40% - Accent5 3 2 2 2 5 2 2" xfId="30354"/>
    <cellStyle name="40% - Accent5 3 2 2 2 5 3" xfId="22938"/>
    <cellStyle name="40% - Accent5 3 2 2 2 6" xfId="9467"/>
    <cellStyle name="40% - Accent5 3 2 2 2 6 2" xfId="23942"/>
    <cellStyle name="40% - Accent5 3 2 2 2 7" xfId="22941"/>
    <cellStyle name="40% - Accent5 3 2 2 3" xfId="4494"/>
    <cellStyle name="40% - Accent5 3 2 2 3 2" xfId="4495"/>
    <cellStyle name="40% - Accent5 3 2 2 3 2 2" xfId="15422"/>
    <cellStyle name="40% - Accent5 3 2 2 3 2 2 2" xfId="28971"/>
    <cellStyle name="40% - Accent5 3 2 2 3 2 3" xfId="22937"/>
    <cellStyle name="40% - Accent5 3 2 2 3 3" xfId="11193"/>
    <cellStyle name="40% - Accent5 3 2 2 3 3 2" xfId="25135"/>
    <cellStyle name="40% - Accent5 3 2 2 3 4" xfId="29151"/>
    <cellStyle name="40% - Accent5 3 2 2 4" xfId="4496"/>
    <cellStyle name="40% - Accent5 3 2 2 4 2" xfId="12335"/>
    <cellStyle name="40% - Accent5 3 2 2 4 2 2" xfId="26047"/>
    <cellStyle name="40% - Accent5 3 2 2 4 3" xfId="22936"/>
    <cellStyle name="40% - Accent5 3 2 2 5" xfId="4497"/>
    <cellStyle name="40% - Accent5 3 2 2 5 2" xfId="12978"/>
    <cellStyle name="40% - Accent5 3 2 2 5 2 2" xfId="26690"/>
    <cellStyle name="40% - Accent5 3 2 2 5 3" xfId="22935"/>
    <cellStyle name="40% - Accent5 3 2 2 6" xfId="4498"/>
    <cellStyle name="40% - Accent5 3 2 2 6 2" xfId="13899"/>
    <cellStyle name="40% - Accent5 3 2 2 6 2 2" xfId="27448"/>
    <cellStyle name="40% - Accent5 3 2 2 6 3" xfId="22934"/>
    <cellStyle name="40% - Accent5 3 2 2 7" xfId="4499"/>
    <cellStyle name="40% - Accent5 3 2 2 7 2" xfId="14480"/>
    <cellStyle name="40% - Accent5 3 2 2 7 2 2" xfId="28029"/>
    <cellStyle name="40% - Accent5 3 2 2 7 3" xfId="24254"/>
    <cellStyle name="40% - Accent5 3 2 2 8" xfId="4500"/>
    <cellStyle name="40% - Accent5 3 2 2 8 2" xfId="15420"/>
    <cellStyle name="40% - Accent5 3 2 2 8 2 2" xfId="28969"/>
    <cellStyle name="40% - Accent5 3 2 2 8 3" xfId="25276"/>
    <cellStyle name="40% - Accent5 3 2 2 9" xfId="4501"/>
    <cellStyle name="40% - Accent5 3 2 2 9 2" xfId="16366"/>
    <cellStyle name="40% - Accent5 3 2 2 9 2 2" xfId="29773"/>
    <cellStyle name="40% - Accent5 3 2 2 9 3" xfId="22933"/>
    <cellStyle name="40% - Accent5 3 2 3" xfId="4502"/>
    <cellStyle name="40% - Accent5 3 2 3 2" xfId="4503"/>
    <cellStyle name="40% - Accent5 3 2 3 2 2" xfId="11195"/>
    <cellStyle name="40% - Accent5 3 2 3 2 2 2" xfId="25137"/>
    <cellStyle name="40% - Accent5 3 2 3 2 3" xfId="29150"/>
    <cellStyle name="40% - Accent5 3 2 3 3" xfId="4504"/>
    <cellStyle name="40% - Accent5 3 2 3 3 2" xfId="12980"/>
    <cellStyle name="40% - Accent5 3 2 3 3 2 2" xfId="26692"/>
    <cellStyle name="40% - Accent5 3 2 3 3 3" xfId="22931"/>
    <cellStyle name="40% - Accent5 3 2 3 4" xfId="4505"/>
    <cellStyle name="40% - Accent5 3 2 3 4 2" xfId="15423"/>
    <cellStyle name="40% - Accent5 3 2 3 4 2 2" xfId="28972"/>
    <cellStyle name="40% - Accent5 3 2 3 4 3" xfId="22930"/>
    <cellStyle name="40% - Accent5 3 2 3 5" xfId="4506"/>
    <cellStyle name="40% - Accent5 3 2 3 5 2" xfId="16658"/>
    <cellStyle name="40% - Accent5 3 2 3 5 2 2" xfId="30065"/>
    <cellStyle name="40% - Accent5 3 2 3 5 3" xfId="22929"/>
    <cellStyle name="40% - Accent5 3 2 3 6" xfId="9468"/>
    <cellStyle name="40% - Accent5 3 2 3 6 2" xfId="23943"/>
    <cellStyle name="40% - Accent5 3 2 3 7" xfId="22932"/>
    <cellStyle name="40% - Accent5 3 2 4" xfId="4507"/>
    <cellStyle name="40% - Accent5 3 2 4 2" xfId="4508"/>
    <cellStyle name="40% - Accent5 3 2 4 2 2" xfId="15424"/>
    <cellStyle name="40% - Accent5 3 2 4 2 2 2" xfId="28973"/>
    <cellStyle name="40% - Accent5 3 2 4 2 3" xfId="22928"/>
    <cellStyle name="40% - Accent5 3 2 4 3" xfId="11192"/>
    <cellStyle name="40% - Accent5 3 2 4 3 2" xfId="25134"/>
    <cellStyle name="40% - Accent5 3 2 4 4" xfId="24253"/>
    <cellStyle name="40% - Accent5 3 2 5" xfId="4509"/>
    <cellStyle name="40% - Accent5 3 2 5 2" xfId="12035"/>
    <cellStyle name="40% - Accent5 3 2 5 2 2" xfId="25750"/>
    <cellStyle name="40% - Accent5 3 2 5 3" xfId="25275"/>
    <cellStyle name="40% - Accent5 3 2 6" xfId="4510"/>
    <cellStyle name="40% - Accent5 3 2 6 2" xfId="12977"/>
    <cellStyle name="40% - Accent5 3 2 6 2 2" xfId="26689"/>
    <cellStyle name="40% - Accent5 3 2 6 3" xfId="22927"/>
    <cellStyle name="40% - Accent5 3 2 7" xfId="4511"/>
    <cellStyle name="40% - Accent5 3 2 7 2" xfId="13610"/>
    <cellStyle name="40% - Accent5 3 2 7 2 2" xfId="27159"/>
    <cellStyle name="40% - Accent5 3 2 7 3" xfId="22926"/>
    <cellStyle name="40% - Accent5 3 2 8" xfId="4512"/>
    <cellStyle name="40% - Accent5 3 2 8 2" xfId="14191"/>
    <cellStyle name="40% - Accent5 3 2 8 2 2" xfId="27740"/>
    <cellStyle name="40% - Accent5 3 2 8 3" xfId="24252"/>
    <cellStyle name="40% - Accent5 3 2 9" xfId="4513"/>
    <cellStyle name="40% - Accent5 3 2 9 2" xfId="15419"/>
    <cellStyle name="40% - Accent5 3 2 9 2 2" xfId="28968"/>
    <cellStyle name="40% - Accent5 3 2 9 3" xfId="22925"/>
    <cellStyle name="40% - Accent5 3 3" xfId="4514"/>
    <cellStyle name="40% - Accent5 3 3 10" xfId="9469"/>
    <cellStyle name="40% - Accent5 3 3 10 2" xfId="23944"/>
    <cellStyle name="40% - Accent5 3 3 11" xfId="25274"/>
    <cellStyle name="40% - Accent5 3 3 2" xfId="4515"/>
    <cellStyle name="40% - Accent5 3 3 2 2" xfId="4516"/>
    <cellStyle name="40% - Accent5 3 3 2 2 2" xfId="11197"/>
    <cellStyle name="40% - Accent5 3 3 2 2 2 2" xfId="25139"/>
    <cellStyle name="40% - Accent5 3 3 2 2 3" xfId="22923"/>
    <cellStyle name="40% - Accent5 3 3 2 3" xfId="4517"/>
    <cellStyle name="40% - Accent5 3 3 2 3 2" xfId="12982"/>
    <cellStyle name="40% - Accent5 3 3 2 3 2 2" xfId="26694"/>
    <cellStyle name="40% - Accent5 3 3 2 3 3" xfId="24251"/>
    <cellStyle name="40% - Accent5 3 3 2 4" xfId="4518"/>
    <cellStyle name="40% - Accent5 3 3 2 4 2" xfId="15426"/>
    <cellStyle name="40% - Accent5 3 3 2 4 2 2" xfId="28975"/>
    <cellStyle name="40% - Accent5 3 3 2 4 3" xfId="22922"/>
    <cellStyle name="40% - Accent5 3 3 2 5" xfId="4519"/>
    <cellStyle name="40% - Accent5 3 3 2 5 2" xfId="16804"/>
    <cellStyle name="40% - Accent5 3 3 2 5 2 2" xfId="30211"/>
    <cellStyle name="40% - Accent5 3 3 2 5 3" xfId="22921"/>
    <cellStyle name="40% - Accent5 3 3 2 6" xfId="9470"/>
    <cellStyle name="40% - Accent5 3 3 2 6 2" xfId="23945"/>
    <cellStyle name="40% - Accent5 3 3 2 7" xfId="22924"/>
    <cellStyle name="40% - Accent5 3 3 3" xfId="4520"/>
    <cellStyle name="40% - Accent5 3 3 3 2" xfId="4521"/>
    <cellStyle name="40% - Accent5 3 3 3 2 2" xfId="15427"/>
    <cellStyle name="40% - Accent5 3 3 3 2 2 2" xfId="28976"/>
    <cellStyle name="40% - Accent5 3 3 3 2 3" xfId="22920"/>
    <cellStyle name="40% - Accent5 3 3 3 3" xfId="11196"/>
    <cellStyle name="40% - Accent5 3 3 3 3 2" xfId="25138"/>
    <cellStyle name="40% - Accent5 3 3 3 4" xfId="24249"/>
    <cellStyle name="40% - Accent5 3 3 4" xfId="4522"/>
    <cellStyle name="40% - Accent5 3 3 4 2" xfId="12192"/>
    <cellStyle name="40% - Accent5 3 3 4 2 2" xfId="25904"/>
    <cellStyle name="40% - Accent5 3 3 4 3" xfId="25272"/>
    <cellStyle name="40% - Accent5 3 3 5" xfId="4523"/>
    <cellStyle name="40% - Accent5 3 3 5 2" xfId="12981"/>
    <cellStyle name="40% - Accent5 3 3 5 2 2" xfId="26693"/>
    <cellStyle name="40% - Accent5 3 3 5 3" xfId="22919"/>
    <cellStyle name="40% - Accent5 3 3 6" xfId="4524"/>
    <cellStyle name="40% - Accent5 3 3 6 2" xfId="13756"/>
    <cellStyle name="40% - Accent5 3 3 6 2 2" xfId="27305"/>
    <cellStyle name="40% - Accent5 3 3 6 3" xfId="24250"/>
    <cellStyle name="40% - Accent5 3 3 7" xfId="4525"/>
    <cellStyle name="40% - Accent5 3 3 7 2" xfId="14337"/>
    <cellStyle name="40% - Accent5 3 3 7 2 2" xfId="27886"/>
    <cellStyle name="40% - Accent5 3 3 7 3" xfId="25273"/>
    <cellStyle name="40% - Accent5 3 3 8" xfId="4526"/>
    <cellStyle name="40% - Accent5 3 3 8 2" xfId="15425"/>
    <cellStyle name="40% - Accent5 3 3 8 2 2" xfId="28974"/>
    <cellStyle name="40% - Accent5 3 3 8 3" xfId="22918"/>
    <cellStyle name="40% - Accent5 3 3 9" xfId="4527"/>
    <cellStyle name="40% - Accent5 3 3 9 2" xfId="16223"/>
    <cellStyle name="40% - Accent5 3 3 9 2 2" xfId="29630"/>
    <cellStyle name="40% - Accent5 3 3 9 3" xfId="22917"/>
    <cellStyle name="40% - Accent5 3 4" xfId="4528"/>
    <cellStyle name="40% - Accent5 3 4 2" xfId="4529"/>
    <cellStyle name="40% - Accent5 3 4 2 2" xfId="11198"/>
    <cellStyle name="40% - Accent5 3 4 2 2 2" xfId="25140"/>
    <cellStyle name="40% - Accent5 3 4 2 3" xfId="24247"/>
    <cellStyle name="40% - Accent5 3 4 3" xfId="4530"/>
    <cellStyle name="40% - Accent5 3 4 3 2" xfId="12983"/>
    <cellStyle name="40% - Accent5 3 4 3 2 2" xfId="26695"/>
    <cellStyle name="40% - Accent5 3 4 3 3" xfId="22915"/>
    <cellStyle name="40% - Accent5 3 4 4" xfId="4531"/>
    <cellStyle name="40% - Accent5 3 4 4 2" xfId="15428"/>
    <cellStyle name="40% - Accent5 3 4 4 2 2" xfId="28977"/>
    <cellStyle name="40% - Accent5 3 4 4 3" xfId="22914"/>
    <cellStyle name="40% - Accent5 3 4 5" xfId="4532"/>
    <cellStyle name="40% - Accent5 3 4 5 2" xfId="17151"/>
    <cellStyle name="40% - Accent5 3 4 5 2 2" xfId="30510"/>
    <cellStyle name="40% - Accent5 3 4 5 3" xfId="29149"/>
    <cellStyle name="40% - Accent5 3 4 6" xfId="9471"/>
    <cellStyle name="40% - Accent5 3 4 6 2" xfId="23946"/>
    <cellStyle name="40% - Accent5 3 4 7" xfId="22916"/>
    <cellStyle name="40% - Accent5 3 5" xfId="4533"/>
    <cellStyle name="40% - Accent5 3 5 2" xfId="4534"/>
    <cellStyle name="40% - Accent5 3 5 2 2" xfId="11199"/>
    <cellStyle name="40% - Accent5 3 5 2 2 2" xfId="25141"/>
    <cellStyle name="40% - Accent5 3 5 2 3" xfId="22912"/>
    <cellStyle name="40% - Accent5 3 5 3" xfId="4535"/>
    <cellStyle name="40% - Accent5 3 5 3 2" xfId="12984"/>
    <cellStyle name="40% - Accent5 3 5 3 2 2" xfId="26696"/>
    <cellStyle name="40% - Accent5 3 5 3 3" xfId="26843"/>
    <cellStyle name="40% - Accent5 3 5 4" xfId="4536"/>
    <cellStyle name="40% - Accent5 3 5 4 2" xfId="15429"/>
    <cellStyle name="40% - Accent5 3 5 4 2 2" xfId="28978"/>
    <cellStyle name="40% - Accent5 3 5 4 3" xfId="22911"/>
    <cellStyle name="40% - Accent5 3 5 5" xfId="4537"/>
    <cellStyle name="40% - Accent5 3 5 5 2" xfId="17240"/>
    <cellStyle name="40% - Accent5 3 5 5 2 2" xfId="30599"/>
    <cellStyle name="40% - Accent5 3 5 5 3" xfId="22910"/>
    <cellStyle name="40% - Accent5 3 5 6" xfId="9472"/>
    <cellStyle name="40% - Accent5 3 5 6 2" xfId="23947"/>
    <cellStyle name="40% - Accent5 3 5 7" xfId="22913"/>
    <cellStyle name="40% - Accent5 3 6" xfId="4538"/>
    <cellStyle name="40% - Accent5 3 6 2" xfId="4539"/>
    <cellStyle name="40% - Accent5 3 6 2 2" xfId="15430"/>
    <cellStyle name="40% - Accent5 3 6 2 2 2" xfId="28979"/>
    <cellStyle name="40% - Accent5 3 6 2 3" xfId="22909"/>
    <cellStyle name="40% - Accent5 3 6 3" xfId="4540"/>
    <cellStyle name="40% - Accent5 3 6 3 2" xfId="16515"/>
    <cellStyle name="40% - Accent5 3 6 3 2 2" xfId="29922"/>
    <cellStyle name="40% - Accent5 3 6 3 3" xfId="25271"/>
    <cellStyle name="40% - Accent5 3 6 4" xfId="11191"/>
    <cellStyle name="40% - Accent5 3 6 4 2" xfId="25133"/>
    <cellStyle name="40% - Accent5 3 6 5" xfId="24248"/>
    <cellStyle name="40% - Accent5 3 7" xfId="4541"/>
    <cellStyle name="40% - Accent5 3 7 2" xfId="11887"/>
    <cellStyle name="40% - Accent5 3 7 2 2" xfId="25602"/>
    <cellStyle name="40% - Accent5 3 7 3" xfId="22908"/>
    <cellStyle name="40% - Accent5 3 8" xfId="4542"/>
    <cellStyle name="40% - Accent5 3 8 2" xfId="12976"/>
    <cellStyle name="40% - Accent5 3 8 2 2" xfId="26688"/>
    <cellStyle name="40% - Accent5 3 8 3" xfId="22907"/>
    <cellStyle name="40% - Accent5 3 9" xfId="4543"/>
    <cellStyle name="40% - Accent5 3 9 2" xfId="13467"/>
    <cellStyle name="40% - Accent5 3 9 2 2" xfId="27016"/>
    <cellStyle name="40% - Accent5 3 9 3" xfId="22906"/>
    <cellStyle name="40% - Accent5 30" xfId="23260"/>
    <cellStyle name="40% - Accent5 4" xfId="4544"/>
    <cellStyle name="40% - Accent5 4 10" xfId="4545"/>
    <cellStyle name="40% - Accent5 4 10 2" xfId="15431"/>
    <cellStyle name="40% - Accent5 4 10 2 2" xfId="28980"/>
    <cellStyle name="40% - Accent5 4 10 3" xfId="22905"/>
    <cellStyle name="40% - Accent5 4 11" xfId="4546"/>
    <cellStyle name="40% - Accent5 4 11 2" xfId="15889"/>
    <cellStyle name="40% - Accent5 4 11 2 2" xfId="29296"/>
    <cellStyle name="40% - Accent5 4 11 3" xfId="22904"/>
    <cellStyle name="40% - Accent5 4 12" xfId="9473"/>
    <cellStyle name="40% - Accent5 4 12 2" xfId="23948"/>
    <cellStyle name="40% - Accent5 4 13" xfId="24243"/>
    <cellStyle name="40% - Accent5 4 2" xfId="4547"/>
    <cellStyle name="40% - Accent5 4 2 10" xfId="4548"/>
    <cellStyle name="40% - Accent5 4 2 10 2" xfId="16032"/>
    <cellStyle name="40% - Accent5 4 2 10 2 2" xfId="29439"/>
    <cellStyle name="40% - Accent5 4 2 10 3" xfId="22903"/>
    <cellStyle name="40% - Accent5 4 2 11" xfId="9474"/>
    <cellStyle name="40% - Accent5 4 2 11 2" xfId="23949"/>
    <cellStyle name="40% - Accent5 4 2 12" xfId="29148"/>
    <cellStyle name="40% - Accent5 4 2 2" xfId="4549"/>
    <cellStyle name="40% - Accent5 4 2 2 10" xfId="9475"/>
    <cellStyle name="40% - Accent5 4 2 2 10 2" xfId="23950"/>
    <cellStyle name="40% - Accent5 4 2 2 11" xfId="22902"/>
    <cellStyle name="40% - Accent5 4 2 2 2" xfId="4550"/>
    <cellStyle name="40% - Accent5 4 2 2 2 2" xfId="4551"/>
    <cellStyle name="40% - Accent5 4 2 2 2 2 2" xfId="11203"/>
    <cellStyle name="40% - Accent5 4 2 2 2 2 2 2" xfId="25145"/>
    <cellStyle name="40% - Accent5 4 2 2 2 2 3" xfId="22901"/>
    <cellStyle name="40% - Accent5 4 2 2 2 3" xfId="4552"/>
    <cellStyle name="40% - Accent5 4 2 2 2 3 2" xfId="12988"/>
    <cellStyle name="40% - Accent5 4 2 2 2 3 2 2" xfId="26700"/>
    <cellStyle name="40% - Accent5 4 2 2 2 3 3" xfId="22900"/>
    <cellStyle name="40% - Accent5 4 2 2 2 4" xfId="4553"/>
    <cellStyle name="40% - Accent5 4 2 2 2 4 2" xfId="15434"/>
    <cellStyle name="40% - Accent5 4 2 2 2 4 2 2" xfId="28983"/>
    <cellStyle name="40% - Accent5 4 2 2 2 4 3" xfId="24246"/>
    <cellStyle name="40% - Accent5 4 2 2 2 5" xfId="4554"/>
    <cellStyle name="40% - Accent5 4 2 2 2 5 2" xfId="16902"/>
    <cellStyle name="40% - Accent5 4 2 2 2 5 2 2" xfId="30309"/>
    <cellStyle name="40% - Accent5 4 2 2 2 5 3" xfId="22899"/>
    <cellStyle name="40% - Accent5 4 2 2 2 6" xfId="9476"/>
    <cellStyle name="40% - Accent5 4 2 2 2 6 2" xfId="23951"/>
    <cellStyle name="40% - Accent5 4 2 2 2 7" xfId="26842"/>
    <cellStyle name="40% - Accent5 4 2 2 3" xfId="4555"/>
    <cellStyle name="40% - Accent5 4 2 2 3 2" xfId="4556"/>
    <cellStyle name="40% - Accent5 4 2 2 3 2 2" xfId="15435"/>
    <cellStyle name="40% - Accent5 4 2 2 3 2 2 2" xfId="28984"/>
    <cellStyle name="40% - Accent5 4 2 2 3 2 3" xfId="22898"/>
    <cellStyle name="40% - Accent5 4 2 2 3 3" xfId="11202"/>
    <cellStyle name="40% - Accent5 4 2 2 3 3 2" xfId="25144"/>
    <cellStyle name="40% - Accent5 4 2 2 3 4" xfId="25270"/>
    <cellStyle name="40% - Accent5 4 2 2 4" xfId="4557"/>
    <cellStyle name="40% - Accent5 4 2 2 4 2" xfId="12290"/>
    <cellStyle name="40% - Accent5 4 2 2 4 2 2" xfId="26002"/>
    <cellStyle name="40% - Accent5 4 2 2 4 3" xfId="22897"/>
    <cellStyle name="40% - Accent5 4 2 2 5" xfId="4558"/>
    <cellStyle name="40% - Accent5 4 2 2 5 2" xfId="12987"/>
    <cellStyle name="40% - Accent5 4 2 2 5 2 2" xfId="26699"/>
    <cellStyle name="40% - Accent5 4 2 2 5 3" xfId="24244"/>
    <cellStyle name="40% - Accent5 4 2 2 6" xfId="4559"/>
    <cellStyle name="40% - Accent5 4 2 2 6 2" xfId="13854"/>
    <cellStyle name="40% - Accent5 4 2 2 6 2 2" xfId="27403"/>
    <cellStyle name="40% - Accent5 4 2 2 6 3" xfId="22896"/>
    <cellStyle name="40% - Accent5 4 2 2 7" xfId="4560"/>
    <cellStyle name="40% - Accent5 4 2 2 7 2" xfId="14435"/>
    <cellStyle name="40% - Accent5 4 2 2 7 2 2" xfId="27984"/>
    <cellStyle name="40% - Accent5 4 2 2 7 3" xfId="22895"/>
    <cellStyle name="40% - Accent5 4 2 2 8" xfId="4561"/>
    <cellStyle name="40% - Accent5 4 2 2 8 2" xfId="15433"/>
    <cellStyle name="40% - Accent5 4 2 2 8 2 2" xfId="28982"/>
    <cellStyle name="40% - Accent5 4 2 2 8 3" xfId="29147"/>
    <cellStyle name="40% - Accent5 4 2 2 9" xfId="4562"/>
    <cellStyle name="40% - Accent5 4 2 2 9 2" xfId="16321"/>
    <cellStyle name="40% - Accent5 4 2 2 9 2 2" xfId="29728"/>
    <cellStyle name="40% - Accent5 4 2 2 9 3" xfId="22894"/>
    <cellStyle name="40% - Accent5 4 2 3" xfId="4563"/>
    <cellStyle name="40% - Accent5 4 2 3 2" xfId="4564"/>
    <cellStyle name="40% - Accent5 4 2 3 2 2" xfId="11204"/>
    <cellStyle name="40% - Accent5 4 2 3 2 2 2" xfId="25146"/>
    <cellStyle name="40% - Accent5 4 2 3 2 3" xfId="26841"/>
    <cellStyle name="40% - Accent5 4 2 3 3" xfId="4565"/>
    <cellStyle name="40% - Accent5 4 2 3 3 2" xfId="12989"/>
    <cellStyle name="40% - Accent5 4 2 3 3 2 2" xfId="26701"/>
    <cellStyle name="40% - Accent5 4 2 3 3 3" xfId="22892"/>
    <cellStyle name="40% - Accent5 4 2 3 4" xfId="4566"/>
    <cellStyle name="40% - Accent5 4 2 3 4 2" xfId="15436"/>
    <cellStyle name="40% - Accent5 4 2 3 4 2 2" xfId="28985"/>
    <cellStyle name="40% - Accent5 4 2 3 4 3" xfId="22891"/>
    <cellStyle name="40% - Accent5 4 2 3 5" xfId="4567"/>
    <cellStyle name="40% - Accent5 4 2 3 5 2" xfId="16613"/>
    <cellStyle name="40% - Accent5 4 2 3 5 2 2" xfId="30020"/>
    <cellStyle name="40% - Accent5 4 2 3 5 3" xfId="24245"/>
    <cellStyle name="40% - Accent5 4 2 3 6" xfId="9477"/>
    <cellStyle name="40% - Accent5 4 2 3 6 2" xfId="23952"/>
    <cellStyle name="40% - Accent5 4 2 3 7" xfId="22893"/>
    <cellStyle name="40% - Accent5 4 2 4" xfId="4568"/>
    <cellStyle name="40% - Accent5 4 2 4 2" xfId="4569"/>
    <cellStyle name="40% - Accent5 4 2 4 2 2" xfId="15437"/>
    <cellStyle name="40% - Accent5 4 2 4 2 2 2" xfId="28986"/>
    <cellStyle name="40% - Accent5 4 2 4 2 3" xfId="25269"/>
    <cellStyle name="40% - Accent5 4 2 4 3" xfId="11201"/>
    <cellStyle name="40% - Accent5 4 2 4 3 2" xfId="25143"/>
    <cellStyle name="40% - Accent5 4 2 4 4" xfId="22890"/>
    <cellStyle name="40% - Accent5 4 2 5" xfId="4570"/>
    <cellStyle name="40% - Accent5 4 2 5 2" xfId="11990"/>
    <cellStyle name="40% - Accent5 4 2 5 2 2" xfId="25705"/>
    <cellStyle name="40% - Accent5 4 2 5 3" xfId="22889"/>
    <cellStyle name="40% - Accent5 4 2 6" xfId="4571"/>
    <cellStyle name="40% - Accent5 4 2 6 2" xfId="12986"/>
    <cellStyle name="40% - Accent5 4 2 6 2 2" xfId="26698"/>
    <cellStyle name="40% - Accent5 4 2 6 3" xfId="22888"/>
    <cellStyle name="40% - Accent5 4 2 7" xfId="4572"/>
    <cellStyle name="40% - Accent5 4 2 7 2" xfId="13565"/>
    <cellStyle name="40% - Accent5 4 2 7 2 2" xfId="27114"/>
    <cellStyle name="40% - Accent5 4 2 7 3" xfId="22887"/>
    <cellStyle name="40% - Accent5 4 2 8" xfId="4573"/>
    <cellStyle name="40% - Accent5 4 2 8 2" xfId="14146"/>
    <cellStyle name="40% - Accent5 4 2 8 2 2" xfId="27695"/>
    <cellStyle name="40% - Accent5 4 2 8 3" xfId="22886"/>
    <cellStyle name="40% - Accent5 4 2 9" xfId="4574"/>
    <cellStyle name="40% - Accent5 4 2 9 2" xfId="15432"/>
    <cellStyle name="40% - Accent5 4 2 9 2 2" xfId="28981"/>
    <cellStyle name="40% - Accent5 4 2 9 3" xfId="22885"/>
    <cellStyle name="40% - Accent5 4 3" xfId="4575"/>
    <cellStyle name="40% - Accent5 4 3 10" xfId="9478"/>
    <cellStyle name="40% - Accent5 4 3 10 2" xfId="23953"/>
    <cellStyle name="40% - Accent5 4 3 11" xfId="22884"/>
    <cellStyle name="40% - Accent5 4 3 2" xfId="4576"/>
    <cellStyle name="40% - Accent5 4 3 2 2" xfId="4577"/>
    <cellStyle name="40% - Accent5 4 3 2 2 2" xfId="11206"/>
    <cellStyle name="40% - Accent5 4 3 2 2 2 2" xfId="25148"/>
    <cellStyle name="40% - Accent5 4 3 2 2 3" xfId="22883"/>
    <cellStyle name="40% - Accent5 4 3 2 3" xfId="4578"/>
    <cellStyle name="40% - Accent5 4 3 2 3 2" xfId="12991"/>
    <cellStyle name="40% - Accent5 4 3 2 3 2 2" xfId="26703"/>
    <cellStyle name="40% - Accent5 4 3 2 3 3" xfId="22882"/>
    <cellStyle name="40% - Accent5 4 3 2 4" xfId="4579"/>
    <cellStyle name="40% - Accent5 4 3 2 4 2" xfId="15439"/>
    <cellStyle name="40% - Accent5 4 3 2 4 2 2" xfId="28988"/>
    <cellStyle name="40% - Accent5 4 3 2 4 3" xfId="22881"/>
    <cellStyle name="40% - Accent5 4 3 2 5" xfId="4580"/>
    <cellStyle name="40% - Accent5 4 3 2 5 2" xfId="16762"/>
    <cellStyle name="40% - Accent5 4 3 2 5 2 2" xfId="30169"/>
    <cellStyle name="40% - Accent5 4 3 2 5 3" xfId="26840"/>
    <cellStyle name="40% - Accent5 4 3 2 6" xfId="9479"/>
    <cellStyle name="40% - Accent5 4 3 2 6 2" xfId="23954"/>
    <cellStyle name="40% - Accent5 4 3 2 7" xfId="29146"/>
    <cellStyle name="40% - Accent5 4 3 3" xfId="4581"/>
    <cellStyle name="40% - Accent5 4 3 3 2" xfId="4582"/>
    <cellStyle name="40% - Accent5 4 3 3 2 2" xfId="15440"/>
    <cellStyle name="40% - Accent5 4 3 3 2 2 2" xfId="28989"/>
    <cellStyle name="40% - Accent5 4 3 3 2 3" xfId="22879"/>
    <cellStyle name="40% - Accent5 4 3 3 3" xfId="11205"/>
    <cellStyle name="40% - Accent5 4 3 3 3 2" xfId="25147"/>
    <cellStyle name="40% - Accent5 4 3 3 4" xfId="22880"/>
    <cellStyle name="40% - Accent5 4 3 4" xfId="4583"/>
    <cellStyle name="40% - Accent5 4 3 4 2" xfId="12150"/>
    <cellStyle name="40% - Accent5 4 3 4 2 2" xfId="25862"/>
    <cellStyle name="40% - Accent5 4 3 4 3" xfId="24242"/>
    <cellStyle name="40% - Accent5 4 3 5" xfId="4584"/>
    <cellStyle name="40% - Accent5 4 3 5 2" xfId="12990"/>
    <cellStyle name="40% - Accent5 4 3 5 2 2" xfId="26702"/>
    <cellStyle name="40% - Accent5 4 3 5 3" xfId="22878"/>
    <cellStyle name="40% - Accent5 4 3 6" xfId="4585"/>
    <cellStyle name="40% - Accent5 4 3 6 2" xfId="13714"/>
    <cellStyle name="40% - Accent5 4 3 6 2 2" xfId="27263"/>
    <cellStyle name="40% - Accent5 4 3 6 3" xfId="25268"/>
    <cellStyle name="40% - Accent5 4 3 7" xfId="4586"/>
    <cellStyle name="40% - Accent5 4 3 7 2" xfId="14295"/>
    <cellStyle name="40% - Accent5 4 3 7 2 2" xfId="27844"/>
    <cellStyle name="40% - Accent5 4 3 7 3" xfId="22877"/>
    <cellStyle name="40% - Accent5 4 3 8" xfId="4587"/>
    <cellStyle name="40% - Accent5 4 3 8 2" xfId="15438"/>
    <cellStyle name="40% - Accent5 4 3 8 2 2" xfId="28987"/>
    <cellStyle name="40% - Accent5 4 3 8 3" xfId="22876"/>
    <cellStyle name="40% - Accent5 4 3 9" xfId="4588"/>
    <cellStyle name="40% - Accent5 4 3 9 2" xfId="16181"/>
    <cellStyle name="40% - Accent5 4 3 9 2 2" xfId="29588"/>
    <cellStyle name="40% - Accent5 4 3 9 3" xfId="24241"/>
    <cellStyle name="40% - Accent5 4 4" xfId="4589"/>
    <cellStyle name="40% - Accent5 4 4 2" xfId="4590"/>
    <cellStyle name="40% - Accent5 4 4 2 2" xfId="11207"/>
    <cellStyle name="40% - Accent5 4 4 2 2 2" xfId="25149"/>
    <cellStyle name="40% - Accent5 4 4 2 3" xfId="22874"/>
    <cellStyle name="40% - Accent5 4 4 3" xfId="4591"/>
    <cellStyle name="40% - Accent5 4 4 3 2" xfId="12992"/>
    <cellStyle name="40% - Accent5 4 4 3 2 2" xfId="26704"/>
    <cellStyle name="40% - Accent5 4 4 3 3" xfId="24239"/>
    <cellStyle name="40% - Accent5 4 4 4" xfId="4592"/>
    <cellStyle name="40% - Accent5 4 4 4 2" xfId="15441"/>
    <cellStyle name="40% - Accent5 4 4 4 2 2" xfId="28990"/>
    <cellStyle name="40% - Accent5 4 4 4 3" xfId="22873"/>
    <cellStyle name="40% - Accent5 4 4 5" xfId="4593"/>
    <cellStyle name="40% - Accent5 4 4 5 2" xfId="16470"/>
    <cellStyle name="40% - Accent5 4 4 5 2 2" xfId="29877"/>
    <cellStyle name="40% - Accent5 4 4 5 3" xfId="22872"/>
    <cellStyle name="40% - Accent5 4 4 6" xfId="9480"/>
    <cellStyle name="40% - Accent5 4 4 6 2" xfId="23955"/>
    <cellStyle name="40% - Accent5 4 4 7" xfId="22875"/>
    <cellStyle name="40% - Accent5 4 5" xfId="4594"/>
    <cellStyle name="40% - Accent5 4 5 2" xfId="4595"/>
    <cellStyle name="40% - Accent5 4 5 2 2" xfId="15442"/>
    <cellStyle name="40% - Accent5 4 5 2 2 2" xfId="28991"/>
    <cellStyle name="40% - Accent5 4 5 2 3" xfId="22871"/>
    <cellStyle name="40% - Accent5 4 5 3" xfId="11200"/>
    <cellStyle name="40% - Accent5 4 5 3 2" xfId="25142"/>
    <cellStyle name="40% - Accent5 4 5 4" xfId="29145"/>
    <cellStyle name="40% - Accent5 4 6" xfId="4596"/>
    <cellStyle name="40% - Accent5 4 6 2" xfId="11821"/>
    <cellStyle name="40% - Accent5 4 6 2 2" xfId="25536"/>
    <cellStyle name="40% - Accent5 4 6 3" xfId="22870"/>
    <cellStyle name="40% - Accent5 4 7" xfId="4597"/>
    <cellStyle name="40% - Accent5 4 7 2" xfId="12985"/>
    <cellStyle name="40% - Accent5 4 7 2 2" xfId="26697"/>
    <cellStyle name="40% - Accent5 4 7 3" xfId="26839"/>
    <cellStyle name="40% - Accent5 4 8" xfId="4598"/>
    <cellStyle name="40% - Accent5 4 8 2" xfId="13422"/>
    <cellStyle name="40% - Accent5 4 8 2 2" xfId="26971"/>
    <cellStyle name="40% - Accent5 4 8 3" xfId="22869"/>
    <cellStyle name="40% - Accent5 4 9" xfId="4599"/>
    <cellStyle name="40% - Accent5 4 9 2" xfId="14003"/>
    <cellStyle name="40% - Accent5 4 9 2 2" xfId="27552"/>
    <cellStyle name="40% - Accent5 4 9 3" xfId="22868"/>
    <cellStyle name="40% - Accent5 5" xfId="4600"/>
    <cellStyle name="40% - Accent5 5 10" xfId="4601"/>
    <cellStyle name="40% - Accent5 5 10 2" xfId="15443"/>
    <cellStyle name="40% - Accent5 5 10 2 2" xfId="28992"/>
    <cellStyle name="40% - Accent5 5 10 3" xfId="22867"/>
    <cellStyle name="40% - Accent5 5 11" xfId="4602"/>
    <cellStyle name="40% - Accent5 5 11 2" xfId="15872"/>
    <cellStyle name="40% - Accent5 5 11 2 2" xfId="29279"/>
    <cellStyle name="40% - Accent5 5 11 3" xfId="25267"/>
    <cellStyle name="40% - Accent5 5 12" xfId="9481"/>
    <cellStyle name="40% - Accent5 5 12 2" xfId="23956"/>
    <cellStyle name="40% - Accent5 5 13" xfId="24240"/>
    <cellStyle name="40% - Accent5 5 2" xfId="4603"/>
    <cellStyle name="40% - Accent5 5 2 10" xfId="4604"/>
    <cellStyle name="40% - Accent5 5 2 10 2" xfId="16015"/>
    <cellStyle name="40% - Accent5 5 2 10 2 2" xfId="29422"/>
    <cellStyle name="40% - Accent5 5 2 10 3" xfId="22865"/>
    <cellStyle name="40% - Accent5 5 2 11" xfId="9482"/>
    <cellStyle name="40% - Accent5 5 2 11 2" xfId="23957"/>
    <cellStyle name="40% - Accent5 5 2 12" xfId="22866"/>
    <cellStyle name="40% - Accent5 5 2 2" xfId="4605"/>
    <cellStyle name="40% - Accent5 5 2 2 10" xfId="9483"/>
    <cellStyle name="40% - Accent5 5 2 2 10 2" xfId="23958"/>
    <cellStyle name="40% - Accent5 5 2 2 11" xfId="22864"/>
    <cellStyle name="40% - Accent5 5 2 2 2" xfId="4606"/>
    <cellStyle name="40% - Accent5 5 2 2 2 2" xfId="4607"/>
    <cellStyle name="40% - Accent5 5 2 2 2 2 2" xfId="11211"/>
    <cellStyle name="40% - Accent5 5 2 2 2 2 2 2" xfId="25153"/>
    <cellStyle name="40% - Accent5 5 2 2 2 2 3" xfId="22863"/>
    <cellStyle name="40% - Accent5 5 2 2 2 3" xfId="4608"/>
    <cellStyle name="40% - Accent5 5 2 2 2 3 2" xfId="12996"/>
    <cellStyle name="40% - Accent5 5 2 2 2 3 2 2" xfId="26708"/>
    <cellStyle name="40% - Accent5 5 2 2 2 3 3" xfId="22862"/>
    <cellStyle name="40% - Accent5 5 2 2 2 4" xfId="4609"/>
    <cellStyle name="40% - Accent5 5 2 2 2 4 2" xfId="15446"/>
    <cellStyle name="40% - Accent5 5 2 2 2 4 2 2" xfId="28995"/>
    <cellStyle name="40% - Accent5 5 2 2 2 4 3" xfId="29144"/>
    <cellStyle name="40% - Accent5 5 2 2 2 5" xfId="4610"/>
    <cellStyle name="40% - Accent5 5 2 2 2 5 2" xfId="16885"/>
    <cellStyle name="40% - Accent5 5 2 2 2 5 2 2" xfId="30292"/>
    <cellStyle name="40% - Accent5 5 2 2 2 5 3" xfId="22861"/>
    <cellStyle name="40% - Accent5 5 2 2 2 6" xfId="9484"/>
    <cellStyle name="40% - Accent5 5 2 2 2 6 2" xfId="23959"/>
    <cellStyle name="40% - Accent5 5 2 2 2 7" xfId="24235"/>
    <cellStyle name="40% - Accent5 5 2 2 3" xfId="4611"/>
    <cellStyle name="40% - Accent5 5 2 2 3 2" xfId="4612"/>
    <cellStyle name="40% - Accent5 5 2 2 3 2 2" xfId="15447"/>
    <cellStyle name="40% - Accent5 5 2 2 3 2 2 2" xfId="28996"/>
    <cellStyle name="40% - Accent5 5 2 2 3 2 3" xfId="26838"/>
    <cellStyle name="40% - Accent5 5 2 2 3 3" xfId="11210"/>
    <cellStyle name="40% - Accent5 5 2 2 3 3 2" xfId="25152"/>
    <cellStyle name="40% - Accent5 5 2 2 3 4" xfId="22860"/>
    <cellStyle name="40% - Accent5 5 2 2 4" xfId="4613"/>
    <cellStyle name="40% - Accent5 5 2 2 4 2" xfId="12273"/>
    <cellStyle name="40% - Accent5 5 2 2 4 2 2" xfId="25985"/>
    <cellStyle name="40% - Accent5 5 2 2 4 3" xfId="22859"/>
    <cellStyle name="40% - Accent5 5 2 2 5" xfId="4614"/>
    <cellStyle name="40% - Accent5 5 2 2 5 2" xfId="12995"/>
    <cellStyle name="40% - Accent5 5 2 2 5 2 2" xfId="26707"/>
    <cellStyle name="40% - Accent5 5 2 2 5 3" xfId="22858"/>
    <cellStyle name="40% - Accent5 5 2 2 6" xfId="4615"/>
    <cellStyle name="40% - Accent5 5 2 2 6 2" xfId="13837"/>
    <cellStyle name="40% - Accent5 5 2 2 6 2 2" xfId="27386"/>
    <cellStyle name="40% - Accent5 5 2 2 6 3" xfId="24238"/>
    <cellStyle name="40% - Accent5 5 2 2 7" xfId="4616"/>
    <cellStyle name="40% - Accent5 5 2 2 7 2" xfId="14418"/>
    <cellStyle name="40% - Accent5 5 2 2 7 2 2" xfId="27967"/>
    <cellStyle name="40% - Accent5 5 2 2 7 3" xfId="22857"/>
    <cellStyle name="40% - Accent5 5 2 2 8" xfId="4617"/>
    <cellStyle name="40% - Accent5 5 2 2 8 2" xfId="15445"/>
    <cellStyle name="40% - Accent5 5 2 2 8 2 2" xfId="28994"/>
    <cellStyle name="40% - Accent5 5 2 2 8 3" xfId="25266"/>
    <cellStyle name="40% - Accent5 5 2 2 9" xfId="4618"/>
    <cellStyle name="40% - Accent5 5 2 2 9 2" xfId="16304"/>
    <cellStyle name="40% - Accent5 5 2 2 9 2 2" xfId="29711"/>
    <cellStyle name="40% - Accent5 5 2 2 9 3" xfId="22856"/>
    <cellStyle name="40% - Accent5 5 2 3" xfId="4619"/>
    <cellStyle name="40% - Accent5 5 2 3 2" xfId="4620"/>
    <cellStyle name="40% - Accent5 5 2 3 2 2" xfId="11212"/>
    <cellStyle name="40% - Accent5 5 2 3 2 2 2" xfId="25154"/>
    <cellStyle name="40% - Accent5 5 2 3 2 3" xfId="24236"/>
    <cellStyle name="40% - Accent5 5 2 3 3" xfId="4621"/>
    <cellStyle name="40% - Accent5 5 2 3 3 2" xfId="12997"/>
    <cellStyle name="40% - Accent5 5 2 3 3 2 2" xfId="26709"/>
    <cellStyle name="40% - Accent5 5 2 3 3 3" xfId="22854"/>
    <cellStyle name="40% - Accent5 5 2 3 4" xfId="4622"/>
    <cellStyle name="40% - Accent5 5 2 3 4 2" xfId="15448"/>
    <cellStyle name="40% - Accent5 5 2 3 4 2 2" xfId="28997"/>
    <cellStyle name="40% - Accent5 5 2 3 4 3" xfId="22853"/>
    <cellStyle name="40% - Accent5 5 2 3 5" xfId="4623"/>
    <cellStyle name="40% - Accent5 5 2 3 5 2" xfId="16596"/>
    <cellStyle name="40% - Accent5 5 2 3 5 2 2" xfId="30003"/>
    <cellStyle name="40% - Accent5 5 2 3 5 3" xfId="29143"/>
    <cellStyle name="40% - Accent5 5 2 3 6" xfId="9485"/>
    <cellStyle name="40% - Accent5 5 2 3 6 2" xfId="23960"/>
    <cellStyle name="40% - Accent5 5 2 3 7" xfId="22855"/>
    <cellStyle name="40% - Accent5 5 2 4" xfId="4624"/>
    <cellStyle name="40% - Accent5 5 2 4 2" xfId="4625"/>
    <cellStyle name="40% - Accent5 5 2 4 2 2" xfId="15449"/>
    <cellStyle name="40% - Accent5 5 2 4 2 2 2" xfId="28998"/>
    <cellStyle name="40% - Accent5 5 2 4 2 3" xfId="22851"/>
    <cellStyle name="40% - Accent5 5 2 4 3" xfId="11209"/>
    <cellStyle name="40% - Accent5 5 2 4 3 2" xfId="25151"/>
    <cellStyle name="40% - Accent5 5 2 4 4" xfId="22852"/>
    <cellStyle name="40% - Accent5 5 2 5" xfId="4626"/>
    <cellStyle name="40% - Accent5 5 2 5 2" xfId="11973"/>
    <cellStyle name="40% - Accent5 5 2 5 2 2" xfId="25688"/>
    <cellStyle name="40% - Accent5 5 2 5 3" xfId="26837"/>
    <cellStyle name="40% - Accent5 5 2 6" xfId="4627"/>
    <cellStyle name="40% - Accent5 5 2 6 2" xfId="12994"/>
    <cellStyle name="40% - Accent5 5 2 6 2 2" xfId="26706"/>
    <cellStyle name="40% - Accent5 5 2 6 3" xfId="22850"/>
    <cellStyle name="40% - Accent5 5 2 7" xfId="4628"/>
    <cellStyle name="40% - Accent5 5 2 7 2" xfId="13548"/>
    <cellStyle name="40% - Accent5 5 2 7 2 2" xfId="27097"/>
    <cellStyle name="40% - Accent5 5 2 7 3" xfId="22849"/>
    <cellStyle name="40% - Accent5 5 2 8" xfId="4629"/>
    <cellStyle name="40% - Accent5 5 2 8 2" xfId="14129"/>
    <cellStyle name="40% - Accent5 5 2 8 2 2" xfId="27678"/>
    <cellStyle name="40% - Accent5 5 2 8 3" xfId="24237"/>
    <cellStyle name="40% - Accent5 5 2 9" xfId="4630"/>
    <cellStyle name="40% - Accent5 5 2 9 2" xfId="15444"/>
    <cellStyle name="40% - Accent5 5 2 9 2 2" xfId="28993"/>
    <cellStyle name="40% - Accent5 5 2 9 3" xfId="22848"/>
    <cellStyle name="40% - Accent5 5 3" xfId="4631"/>
    <cellStyle name="40% - Accent5 5 3 10" xfId="9486"/>
    <cellStyle name="40% - Accent5 5 3 10 2" xfId="23961"/>
    <cellStyle name="40% - Accent5 5 3 11" xfId="25265"/>
    <cellStyle name="40% - Accent5 5 3 2" xfId="4632"/>
    <cellStyle name="40% - Accent5 5 3 2 2" xfId="4633"/>
    <cellStyle name="40% - Accent5 5 3 2 2 2" xfId="11214"/>
    <cellStyle name="40% - Accent5 5 3 2 2 2 2" xfId="25156"/>
    <cellStyle name="40% - Accent5 5 3 2 2 3" xfId="22846"/>
    <cellStyle name="40% - Accent5 5 3 2 3" xfId="4634"/>
    <cellStyle name="40% - Accent5 5 3 2 3 2" xfId="12999"/>
    <cellStyle name="40% - Accent5 5 3 2 3 2 2" xfId="26711"/>
    <cellStyle name="40% - Accent5 5 3 2 3 3" xfId="22845"/>
    <cellStyle name="40% - Accent5 5 3 2 4" xfId="4635"/>
    <cellStyle name="40% - Accent5 5 3 2 4 2" xfId="15451"/>
    <cellStyle name="40% - Accent5 5 3 2 4 2 2" xfId="29000"/>
    <cellStyle name="40% - Accent5 5 3 2 4 3" xfId="22844"/>
    <cellStyle name="40% - Accent5 5 3 2 5" xfId="4636"/>
    <cellStyle name="40% - Accent5 5 3 2 5 2" xfId="16745"/>
    <cellStyle name="40% - Accent5 5 3 2 5 2 2" xfId="30152"/>
    <cellStyle name="40% - Accent5 5 3 2 5 3" xfId="24234"/>
    <cellStyle name="40% - Accent5 5 3 2 6" xfId="9487"/>
    <cellStyle name="40% - Accent5 5 3 2 6 2" xfId="23962"/>
    <cellStyle name="40% - Accent5 5 3 2 7" xfId="22847"/>
    <cellStyle name="40% - Accent5 5 3 3" xfId="4637"/>
    <cellStyle name="40% - Accent5 5 3 3 2" xfId="4638"/>
    <cellStyle name="40% - Accent5 5 3 3 2 2" xfId="15452"/>
    <cellStyle name="40% - Accent5 5 3 3 2 2 2" xfId="29001"/>
    <cellStyle name="40% - Accent5 5 3 3 2 3" xfId="23231"/>
    <cellStyle name="40% - Accent5 5 3 3 3" xfId="11213"/>
    <cellStyle name="40% - Accent5 5 3 3 3 2" xfId="25155"/>
    <cellStyle name="40% - Accent5 5 3 3 4" xfId="22843"/>
    <cellStyle name="40% - Accent5 5 3 4" xfId="4639"/>
    <cellStyle name="40% - Accent5 5 3 4 2" xfId="12133"/>
    <cellStyle name="40% - Accent5 5 3 4 2 2" xfId="25845"/>
    <cellStyle name="40% - Accent5 5 3 4 3" xfId="24233"/>
    <cellStyle name="40% - Accent5 5 3 5" xfId="4640"/>
    <cellStyle name="40% - Accent5 5 3 5 2" xfId="12998"/>
    <cellStyle name="40% - Accent5 5 3 5 2 2" xfId="26710"/>
    <cellStyle name="40% - Accent5 5 3 5 3" xfId="22842"/>
    <cellStyle name="40% - Accent5 5 3 6" xfId="4641"/>
    <cellStyle name="40% - Accent5 5 3 6 2" xfId="13697"/>
    <cellStyle name="40% - Accent5 5 3 6 2 2" xfId="27246"/>
    <cellStyle name="40% - Accent5 5 3 6 3" xfId="22841"/>
    <cellStyle name="40% - Accent5 5 3 7" xfId="4642"/>
    <cellStyle name="40% - Accent5 5 3 7 2" xfId="14278"/>
    <cellStyle name="40% - Accent5 5 3 7 2 2" xfId="27827"/>
    <cellStyle name="40% - Accent5 5 3 7 3" xfId="22840"/>
    <cellStyle name="40% - Accent5 5 3 8" xfId="4643"/>
    <cellStyle name="40% - Accent5 5 3 8 2" xfId="15450"/>
    <cellStyle name="40% - Accent5 5 3 8 2 2" xfId="28999"/>
    <cellStyle name="40% - Accent5 5 3 8 3" xfId="22839"/>
    <cellStyle name="40% - Accent5 5 3 9" xfId="4644"/>
    <cellStyle name="40% - Accent5 5 3 9 2" xfId="16164"/>
    <cellStyle name="40% - Accent5 5 3 9 2 2" xfId="29571"/>
    <cellStyle name="40% - Accent5 5 3 9 3" xfId="22838"/>
    <cellStyle name="40% - Accent5 5 4" xfId="4645"/>
    <cellStyle name="40% - Accent5 5 4 2" xfId="4646"/>
    <cellStyle name="40% - Accent5 5 4 2 2" xfId="11215"/>
    <cellStyle name="40% - Accent5 5 4 2 2 2" xfId="25157"/>
    <cellStyle name="40% - Accent5 5 4 2 3" xfId="29142"/>
    <cellStyle name="40% - Accent5 5 4 3" xfId="4647"/>
    <cellStyle name="40% - Accent5 5 4 3 2" xfId="13000"/>
    <cellStyle name="40% - Accent5 5 4 3 2 2" xfId="26712"/>
    <cellStyle name="40% - Accent5 5 4 3 3" xfId="22837"/>
    <cellStyle name="40% - Accent5 5 4 4" xfId="4648"/>
    <cellStyle name="40% - Accent5 5 4 4 2" xfId="15453"/>
    <cellStyle name="40% - Accent5 5 4 4 2 2" xfId="29002"/>
    <cellStyle name="40% - Accent5 5 4 4 3" xfId="22836"/>
    <cellStyle name="40% - Accent5 5 4 5" xfId="4649"/>
    <cellStyle name="40% - Accent5 5 4 5 2" xfId="16453"/>
    <cellStyle name="40% - Accent5 5 4 5 2 2" xfId="29860"/>
    <cellStyle name="40% - Accent5 5 4 5 3" xfId="22835"/>
    <cellStyle name="40% - Accent5 5 4 6" xfId="9488"/>
    <cellStyle name="40% - Accent5 5 4 6 2" xfId="23963"/>
    <cellStyle name="40% - Accent5 5 4 7" xfId="25451"/>
    <cellStyle name="40% - Accent5 5 5" xfId="4650"/>
    <cellStyle name="40% - Accent5 5 5 2" xfId="4651"/>
    <cellStyle name="40% - Accent5 5 5 2 2" xfId="15454"/>
    <cellStyle name="40% - Accent5 5 5 2 2 2" xfId="29003"/>
    <cellStyle name="40% - Accent5 5 5 2 3" xfId="22834"/>
    <cellStyle name="40% - Accent5 5 5 3" xfId="11208"/>
    <cellStyle name="40% - Accent5 5 5 3 2" xfId="25150"/>
    <cellStyle name="40% - Accent5 5 5 4" xfId="25264"/>
    <cellStyle name="40% - Accent5 5 6" xfId="4652"/>
    <cellStyle name="40% - Accent5 5 6 2" xfId="11804"/>
    <cellStyle name="40% - Accent5 5 6 2 2" xfId="25519"/>
    <cellStyle name="40% - Accent5 5 6 3" xfId="22833"/>
    <cellStyle name="40% - Accent5 5 7" xfId="4653"/>
    <cellStyle name="40% - Accent5 5 7 2" xfId="12993"/>
    <cellStyle name="40% - Accent5 5 7 2 2" xfId="26705"/>
    <cellStyle name="40% - Accent5 5 7 3" xfId="24232"/>
    <cellStyle name="40% - Accent5 5 8" xfId="4654"/>
    <cellStyle name="40% - Accent5 5 8 2" xfId="13405"/>
    <cellStyle name="40% - Accent5 5 8 2 2" xfId="26954"/>
    <cellStyle name="40% - Accent5 5 8 3" xfId="25263"/>
    <cellStyle name="40% - Accent5 5 9" xfId="4655"/>
    <cellStyle name="40% - Accent5 5 9 2" xfId="13986"/>
    <cellStyle name="40% - Accent5 5 9 2 2" xfId="27535"/>
    <cellStyle name="40% - Accent5 5 9 3" xfId="22832"/>
    <cellStyle name="40% - Accent5 6" xfId="4656"/>
    <cellStyle name="40% - Accent5 6 10" xfId="4657"/>
    <cellStyle name="40% - Accent5 6 10 2" xfId="15455"/>
    <cellStyle name="40% - Accent5 6 10 2 2" xfId="29004"/>
    <cellStyle name="40% - Accent5 6 10 3" xfId="24231"/>
    <cellStyle name="40% - Accent5 6 11" xfId="4658"/>
    <cellStyle name="40% - Accent5 6 11 2" xfId="15978"/>
    <cellStyle name="40% - Accent5 6 11 2 2" xfId="29385"/>
    <cellStyle name="40% - Accent5 6 11 3" xfId="25262"/>
    <cellStyle name="40% - Accent5 6 12" xfId="9489"/>
    <cellStyle name="40% - Accent5 6 12 2" xfId="23964"/>
    <cellStyle name="40% - Accent5 6 13" xfId="22831"/>
    <cellStyle name="40% - Accent5 6 2" xfId="4659"/>
    <cellStyle name="40% - Accent5 6 2 10" xfId="4660"/>
    <cellStyle name="40% - Accent5 6 2 10 2" xfId="16121"/>
    <cellStyle name="40% - Accent5 6 2 10 2 2" xfId="29528"/>
    <cellStyle name="40% - Accent5 6 2 10 3" xfId="22829"/>
    <cellStyle name="40% - Accent5 6 2 11" xfId="9490"/>
    <cellStyle name="40% - Accent5 6 2 11 2" xfId="23965"/>
    <cellStyle name="40% - Accent5 6 2 12" xfId="22830"/>
    <cellStyle name="40% - Accent5 6 2 2" xfId="4661"/>
    <cellStyle name="40% - Accent5 6 2 2 10" xfId="9491"/>
    <cellStyle name="40% - Accent5 6 2 2 10 2" xfId="23966"/>
    <cellStyle name="40% - Accent5 6 2 2 11" xfId="24230"/>
    <cellStyle name="40% - Accent5 6 2 2 2" xfId="4662"/>
    <cellStyle name="40% - Accent5 6 2 2 2 2" xfId="4663"/>
    <cellStyle name="40% - Accent5 6 2 2 2 2 2" xfId="11219"/>
    <cellStyle name="40% - Accent5 6 2 2 2 2 2 2" xfId="25161"/>
    <cellStyle name="40% - Accent5 6 2 2 2 2 3" xfId="22828"/>
    <cellStyle name="40% - Accent5 6 2 2 2 3" xfId="4664"/>
    <cellStyle name="40% - Accent5 6 2 2 2 3 2" xfId="13004"/>
    <cellStyle name="40% - Accent5 6 2 2 2 3 2 2" xfId="26716"/>
    <cellStyle name="40% - Accent5 6 2 2 2 3 3" xfId="22827"/>
    <cellStyle name="40% - Accent5 6 2 2 2 4" xfId="4665"/>
    <cellStyle name="40% - Accent5 6 2 2 2 4 2" xfId="15458"/>
    <cellStyle name="40% - Accent5 6 2 2 2 4 2 2" xfId="29007"/>
    <cellStyle name="40% - Accent5 6 2 2 2 4 3" xfId="24229"/>
    <cellStyle name="40% - Accent5 6 2 2 2 5" xfId="4666"/>
    <cellStyle name="40% - Accent5 6 2 2 2 5 2" xfId="16991"/>
    <cellStyle name="40% - Accent5 6 2 2 2 5 2 2" xfId="30398"/>
    <cellStyle name="40% - Accent5 6 2 2 2 5 3" xfId="25260"/>
    <cellStyle name="40% - Accent5 6 2 2 2 6" xfId="9492"/>
    <cellStyle name="40% - Accent5 6 2 2 2 6 2" xfId="23967"/>
    <cellStyle name="40% - Accent5 6 2 2 2 7" xfId="25261"/>
    <cellStyle name="40% - Accent5 6 2 2 3" xfId="4667"/>
    <cellStyle name="40% - Accent5 6 2 2 3 2" xfId="4668"/>
    <cellStyle name="40% - Accent5 6 2 2 3 2 2" xfId="15459"/>
    <cellStyle name="40% - Accent5 6 2 2 3 2 2 2" xfId="29008"/>
    <cellStyle name="40% - Accent5 6 2 2 3 2 3" xfId="22825"/>
    <cellStyle name="40% - Accent5 6 2 2 3 3" xfId="11218"/>
    <cellStyle name="40% - Accent5 6 2 2 3 3 2" xfId="25160"/>
    <cellStyle name="40% - Accent5 6 2 2 3 4" xfId="22826"/>
    <cellStyle name="40% - Accent5 6 2 2 4" xfId="4669"/>
    <cellStyle name="40% - Accent5 6 2 2 4 2" xfId="12379"/>
    <cellStyle name="40% - Accent5 6 2 2 4 2 2" xfId="26091"/>
    <cellStyle name="40% - Accent5 6 2 2 4 3" xfId="24228"/>
    <cellStyle name="40% - Accent5 6 2 2 5" xfId="4670"/>
    <cellStyle name="40% - Accent5 6 2 2 5 2" xfId="13003"/>
    <cellStyle name="40% - Accent5 6 2 2 5 2 2" xfId="26715"/>
    <cellStyle name="40% - Accent5 6 2 2 5 3" xfId="22824"/>
    <cellStyle name="40% - Accent5 6 2 2 6" xfId="4671"/>
    <cellStyle name="40% - Accent5 6 2 2 6 2" xfId="13943"/>
    <cellStyle name="40% - Accent5 6 2 2 6 2 2" xfId="27492"/>
    <cellStyle name="40% - Accent5 6 2 2 6 3" xfId="25259"/>
    <cellStyle name="40% - Accent5 6 2 2 7" xfId="4672"/>
    <cellStyle name="40% - Accent5 6 2 2 7 2" xfId="14524"/>
    <cellStyle name="40% - Accent5 6 2 2 7 2 2" xfId="28073"/>
    <cellStyle name="40% - Accent5 6 2 2 7 3" xfId="22823"/>
    <cellStyle name="40% - Accent5 6 2 2 8" xfId="4673"/>
    <cellStyle name="40% - Accent5 6 2 2 8 2" xfId="15457"/>
    <cellStyle name="40% - Accent5 6 2 2 8 2 2" xfId="29006"/>
    <cellStyle name="40% - Accent5 6 2 2 8 3" xfId="22822"/>
    <cellStyle name="40% - Accent5 6 2 2 9" xfId="4674"/>
    <cellStyle name="40% - Accent5 6 2 2 9 2" xfId="16410"/>
    <cellStyle name="40% - Accent5 6 2 2 9 2 2" xfId="29817"/>
    <cellStyle name="40% - Accent5 6 2 2 9 3" xfId="24226"/>
    <cellStyle name="40% - Accent5 6 2 3" xfId="4675"/>
    <cellStyle name="40% - Accent5 6 2 3 2" xfId="4676"/>
    <cellStyle name="40% - Accent5 6 2 3 2 2" xfId="11220"/>
    <cellStyle name="40% - Accent5 6 2 3 2 2 2" xfId="25162"/>
    <cellStyle name="40% - Accent5 6 2 3 2 3" xfId="25257"/>
    <cellStyle name="40% - Accent5 6 2 3 3" xfId="4677"/>
    <cellStyle name="40% - Accent5 6 2 3 3 2" xfId="13005"/>
    <cellStyle name="40% - Accent5 6 2 3 3 2 2" xfId="26717"/>
    <cellStyle name="40% - Accent5 6 2 3 3 3" xfId="22820"/>
    <cellStyle name="40% - Accent5 6 2 3 4" xfId="4678"/>
    <cellStyle name="40% - Accent5 6 2 3 4 2" xfId="15460"/>
    <cellStyle name="40% - Accent5 6 2 3 4 2 2" xfId="29009"/>
    <cellStyle name="40% - Accent5 6 2 3 4 3" xfId="24227"/>
    <cellStyle name="40% - Accent5 6 2 3 5" xfId="4679"/>
    <cellStyle name="40% - Accent5 6 2 3 5 2" xfId="16702"/>
    <cellStyle name="40% - Accent5 6 2 3 5 2 2" xfId="30109"/>
    <cellStyle name="40% - Accent5 6 2 3 5 3" xfId="25258"/>
    <cellStyle name="40% - Accent5 6 2 3 6" xfId="9493"/>
    <cellStyle name="40% - Accent5 6 2 3 6 2" xfId="23968"/>
    <cellStyle name="40% - Accent5 6 2 3 7" xfId="22821"/>
    <cellStyle name="40% - Accent5 6 2 4" xfId="4680"/>
    <cellStyle name="40% - Accent5 6 2 4 2" xfId="4681"/>
    <cellStyle name="40% - Accent5 6 2 4 2 2" xfId="15461"/>
    <cellStyle name="40% - Accent5 6 2 4 2 2 2" xfId="29010"/>
    <cellStyle name="40% - Accent5 6 2 4 2 3" xfId="22818"/>
    <cellStyle name="40% - Accent5 6 2 4 3" xfId="11217"/>
    <cellStyle name="40% - Accent5 6 2 4 3 2" xfId="25159"/>
    <cellStyle name="40% - Accent5 6 2 4 4" xfId="22819"/>
    <cellStyle name="40% - Accent5 6 2 5" xfId="4682"/>
    <cellStyle name="40% - Accent5 6 2 5 2" xfId="12079"/>
    <cellStyle name="40% - Accent5 6 2 5 2 2" xfId="25794"/>
    <cellStyle name="40% - Accent5 6 2 5 3" xfId="22817"/>
    <cellStyle name="40% - Accent5 6 2 6" xfId="4683"/>
    <cellStyle name="40% - Accent5 6 2 6 2" xfId="13002"/>
    <cellStyle name="40% - Accent5 6 2 6 2 2" xfId="26714"/>
    <cellStyle name="40% - Accent5 6 2 6 3" xfId="24225"/>
    <cellStyle name="40% - Accent5 6 2 7" xfId="4684"/>
    <cellStyle name="40% - Accent5 6 2 7 2" xfId="13654"/>
    <cellStyle name="40% - Accent5 6 2 7 2 2" xfId="27203"/>
    <cellStyle name="40% - Accent5 6 2 7 3" xfId="22816"/>
    <cellStyle name="40% - Accent5 6 2 8" xfId="4685"/>
    <cellStyle name="40% - Accent5 6 2 8 2" xfId="14235"/>
    <cellStyle name="40% - Accent5 6 2 8 2 2" xfId="27784"/>
    <cellStyle name="40% - Accent5 6 2 8 3" xfId="22815"/>
    <cellStyle name="40% - Accent5 6 2 9" xfId="4686"/>
    <cellStyle name="40% - Accent5 6 2 9 2" xfId="15456"/>
    <cellStyle name="40% - Accent5 6 2 9 2 2" xfId="29005"/>
    <cellStyle name="40% - Accent5 6 2 9 3" xfId="24224"/>
    <cellStyle name="40% - Accent5 6 3" xfId="4687"/>
    <cellStyle name="40% - Accent5 6 3 10" xfId="9494"/>
    <cellStyle name="40% - Accent5 6 3 10 2" xfId="23969"/>
    <cellStyle name="40% - Accent5 6 3 11" xfId="22814"/>
    <cellStyle name="40% - Accent5 6 3 2" xfId="4688"/>
    <cellStyle name="40% - Accent5 6 3 2 2" xfId="4689"/>
    <cellStyle name="40% - Accent5 6 3 2 2 2" xfId="11222"/>
    <cellStyle name="40% - Accent5 6 3 2 2 2 2" xfId="25164"/>
    <cellStyle name="40% - Accent5 6 3 2 2 3" xfId="26835"/>
    <cellStyle name="40% - Accent5 6 3 2 3" xfId="4690"/>
    <cellStyle name="40% - Accent5 6 3 2 3 2" xfId="13007"/>
    <cellStyle name="40% - Accent5 6 3 2 3 2 2" xfId="26719"/>
    <cellStyle name="40% - Accent5 6 3 2 3 3" xfId="22812"/>
    <cellStyle name="40% - Accent5 6 3 2 4" xfId="4691"/>
    <cellStyle name="40% - Accent5 6 3 2 4 2" xfId="15463"/>
    <cellStyle name="40% - Accent5 6 3 2 4 2 2" xfId="29012"/>
    <cellStyle name="40% - Accent5 6 3 2 4 3" xfId="22811"/>
    <cellStyle name="40% - Accent5 6 3 2 5" xfId="4692"/>
    <cellStyle name="40% - Accent5 6 3 2 5 2" xfId="16848"/>
    <cellStyle name="40% - Accent5 6 3 2 5 2 2" xfId="30255"/>
    <cellStyle name="40% - Accent5 6 3 2 5 3" xfId="24223"/>
    <cellStyle name="40% - Accent5 6 3 2 6" xfId="9495"/>
    <cellStyle name="40% - Accent5 6 3 2 6 2" xfId="23970"/>
    <cellStyle name="40% - Accent5 6 3 2 7" xfId="22813"/>
    <cellStyle name="40% - Accent5 6 3 3" xfId="4693"/>
    <cellStyle name="40% - Accent5 6 3 3 2" xfId="4694"/>
    <cellStyle name="40% - Accent5 6 3 3 2 2" xfId="15464"/>
    <cellStyle name="40% - Accent5 6 3 3 2 2 2" xfId="29013"/>
    <cellStyle name="40% - Accent5 6 3 3 2 3" xfId="26833"/>
    <cellStyle name="40% - Accent5 6 3 3 3" xfId="11221"/>
    <cellStyle name="40% - Accent5 6 3 3 3 2" xfId="25163"/>
    <cellStyle name="40% - Accent5 6 3 3 4" xfId="22810"/>
    <cellStyle name="40% - Accent5 6 3 4" xfId="4695"/>
    <cellStyle name="40% - Accent5 6 3 4 2" xfId="12236"/>
    <cellStyle name="40% - Accent5 6 3 4 2 2" xfId="25948"/>
    <cellStyle name="40% - Accent5 6 3 4 3" xfId="22809"/>
    <cellStyle name="40% - Accent5 6 3 5" xfId="4696"/>
    <cellStyle name="40% - Accent5 6 3 5 2" xfId="13006"/>
    <cellStyle name="40% - Accent5 6 3 5 2 2" xfId="26718"/>
    <cellStyle name="40% - Accent5 6 3 5 3" xfId="22808"/>
    <cellStyle name="40% - Accent5 6 3 6" xfId="4697"/>
    <cellStyle name="40% - Accent5 6 3 6 2" xfId="13800"/>
    <cellStyle name="40% - Accent5 6 3 6 2 2" xfId="27349"/>
    <cellStyle name="40% - Accent5 6 3 6 3" xfId="24222"/>
    <cellStyle name="40% - Accent5 6 3 7" xfId="4698"/>
    <cellStyle name="40% - Accent5 6 3 7 2" xfId="14381"/>
    <cellStyle name="40% - Accent5 6 3 7 2 2" xfId="27930"/>
    <cellStyle name="40% - Accent5 6 3 7 3" xfId="22807"/>
    <cellStyle name="40% - Accent5 6 3 8" xfId="4699"/>
    <cellStyle name="40% - Accent5 6 3 8 2" xfId="15462"/>
    <cellStyle name="40% - Accent5 6 3 8 2 2" xfId="29011"/>
    <cellStyle name="40% - Accent5 6 3 8 3" xfId="22806"/>
    <cellStyle name="40% - Accent5 6 3 9" xfId="4700"/>
    <cellStyle name="40% - Accent5 6 3 9 2" xfId="16267"/>
    <cellStyle name="40% - Accent5 6 3 9 2 2" xfId="29674"/>
    <cellStyle name="40% - Accent5 6 3 9 3" xfId="23203"/>
    <cellStyle name="40% - Accent5 6 4" xfId="4701"/>
    <cellStyle name="40% - Accent5 6 4 2" xfId="4702"/>
    <cellStyle name="40% - Accent5 6 4 2 2" xfId="11223"/>
    <cellStyle name="40% - Accent5 6 4 2 2 2" xfId="25165"/>
    <cellStyle name="40% - Accent5 6 4 2 3" xfId="30686"/>
    <cellStyle name="40% - Accent5 6 4 3" xfId="4703"/>
    <cellStyle name="40% - Accent5 6 4 3 2" xfId="13008"/>
    <cellStyle name="40% - Accent5 6 4 3 2 2" xfId="26720"/>
    <cellStyle name="40% - Accent5 6 4 3 3" xfId="22805"/>
    <cellStyle name="40% - Accent5 6 4 4" xfId="4704"/>
    <cellStyle name="40% - Accent5 6 4 4 2" xfId="15465"/>
    <cellStyle name="40% - Accent5 6 4 4 2 2" xfId="29014"/>
    <cellStyle name="40% - Accent5 6 4 4 3" xfId="26832"/>
    <cellStyle name="40% - Accent5 6 4 5" xfId="4705"/>
    <cellStyle name="40% - Accent5 6 4 5 2" xfId="16559"/>
    <cellStyle name="40% - Accent5 6 4 5 2 2" xfId="29966"/>
    <cellStyle name="40% - Accent5 6 4 5 3" xfId="22804"/>
    <cellStyle name="40% - Accent5 6 4 6" xfId="9496"/>
    <cellStyle name="40% - Accent5 6 4 6 2" xfId="23971"/>
    <cellStyle name="40% - Accent5 6 4 7" xfId="23237"/>
    <cellStyle name="40% - Accent5 6 5" xfId="4706"/>
    <cellStyle name="40% - Accent5 6 5 2" xfId="4707"/>
    <cellStyle name="40% - Accent5 6 5 2 2" xfId="15466"/>
    <cellStyle name="40% - Accent5 6 5 2 2 2" xfId="29015"/>
    <cellStyle name="40% - Accent5 6 5 2 3" xfId="23208"/>
    <cellStyle name="40% - Accent5 6 5 3" xfId="11216"/>
    <cellStyle name="40% - Accent5 6 5 3 2" xfId="25158"/>
    <cellStyle name="40% - Accent5 6 5 4" xfId="22803"/>
    <cellStyle name="40% - Accent5 6 6" xfId="4708"/>
    <cellStyle name="40% - Accent5 6 6 2" xfId="11934"/>
    <cellStyle name="40% - Accent5 6 6 2 2" xfId="25649"/>
    <cellStyle name="40% - Accent5 6 6 3" xfId="26831"/>
    <cellStyle name="40% - Accent5 6 7" xfId="4709"/>
    <cellStyle name="40% - Accent5 6 7 2" xfId="13001"/>
    <cellStyle name="40% - Accent5 6 7 2 2" xfId="26713"/>
    <cellStyle name="40% - Accent5 6 7 3" xfId="22802"/>
    <cellStyle name="40% - Accent5 6 8" xfId="4710"/>
    <cellStyle name="40% - Accent5 6 8 2" xfId="13511"/>
    <cellStyle name="40% - Accent5 6 8 2 2" xfId="27060"/>
    <cellStyle name="40% - Accent5 6 8 3" xfId="24220"/>
    <cellStyle name="40% - Accent5 6 9" xfId="4711"/>
    <cellStyle name="40% - Accent5 6 9 2" xfId="14092"/>
    <cellStyle name="40% - Accent5 6 9 2 2" xfId="27641"/>
    <cellStyle name="40% - Accent5 6 9 3" xfId="22801"/>
    <cellStyle name="40% - Accent5 7" xfId="4712"/>
    <cellStyle name="40% - Accent5 7 10" xfId="4713"/>
    <cellStyle name="40% - Accent5 7 10 2" xfId="15997"/>
    <cellStyle name="40% - Accent5 7 10 2 2" xfId="29404"/>
    <cellStyle name="40% - Accent5 7 10 3" xfId="23230"/>
    <cellStyle name="40% - Accent5 7 11" xfId="9497"/>
    <cellStyle name="40% - Accent5 7 11 2" xfId="23972"/>
    <cellStyle name="40% - Accent5 7 12" xfId="22800"/>
    <cellStyle name="40% - Accent5 7 2" xfId="4714"/>
    <cellStyle name="40% - Accent5 7 2 10" xfId="9498"/>
    <cellStyle name="40% - Accent5 7 2 10 2" xfId="23973"/>
    <cellStyle name="40% - Accent5 7 2 11" xfId="24219"/>
    <cellStyle name="40% - Accent5 7 2 2" xfId="4715"/>
    <cellStyle name="40% - Accent5 7 2 2 2" xfId="4716"/>
    <cellStyle name="40% - Accent5 7 2 2 2 2" xfId="11226"/>
    <cellStyle name="40% - Accent5 7 2 2 2 2 2" xfId="25168"/>
    <cellStyle name="40% - Accent5 7 2 2 2 3" xfId="24218"/>
    <cellStyle name="40% - Accent5 7 2 2 3" xfId="4717"/>
    <cellStyle name="40% - Accent5 7 2 2 3 2" xfId="13011"/>
    <cellStyle name="40% - Accent5 7 2 2 3 2 2" xfId="26723"/>
    <cellStyle name="40% - Accent5 7 2 2 3 3" xfId="22798"/>
    <cellStyle name="40% - Accent5 7 2 2 4" xfId="4718"/>
    <cellStyle name="40% - Accent5 7 2 2 4 2" xfId="15469"/>
    <cellStyle name="40% - Accent5 7 2 2 4 2 2" xfId="29018"/>
    <cellStyle name="40% - Accent5 7 2 2 4 3" xfId="22797"/>
    <cellStyle name="40% - Accent5 7 2 2 5" xfId="4719"/>
    <cellStyle name="40% - Accent5 7 2 2 5 2" xfId="16867"/>
    <cellStyle name="40% - Accent5 7 2 2 5 2 2" xfId="30274"/>
    <cellStyle name="40% - Accent5 7 2 2 5 3" xfId="22796"/>
    <cellStyle name="40% - Accent5 7 2 2 6" xfId="9499"/>
    <cellStyle name="40% - Accent5 7 2 2 6 2" xfId="23974"/>
    <cellStyle name="40% - Accent5 7 2 2 7" xfId="22799"/>
    <cellStyle name="40% - Accent5 7 2 3" xfId="4720"/>
    <cellStyle name="40% - Accent5 7 2 3 2" xfId="4721"/>
    <cellStyle name="40% - Accent5 7 2 3 2 2" xfId="15470"/>
    <cellStyle name="40% - Accent5 7 2 3 2 2 2" xfId="29019"/>
    <cellStyle name="40% - Accent5 7 2 3 2 3" xfId="26830"/>
    <cellStyle name="40% - Accent5 7 2 3 3" xfId="11225"/>
    <cellStyle name="40% - Accent5 7 2 3 3 2" xfId="25167"/>
    <cellStyle name="40% - Accent5 7 2 3 4" xfId="24463"/>
    <cellStyle name="40% - Accent5 7 2 4" xfId="4722"/>
    <cellStyle name="40% - Accent5 7 2 4 2" xfId="12255"/>
    <cellStyle name="40% - Accent5 7 2 4 2 2" xfId="25967"/>
    <cellStyle name="40% - Accent5 7 2 4 3" xfId="22795"/>
    <cellStyle name="40% - Accent5 7 2 5" xfId="4723"/>
    <cellStyle name="40% - Accent5 7 2 5 2" xfId="13010"/>
    <cellStyle name="40% - Accent5 7 2 5 2 2" xfId="26722"/>
    <cellStyle name="40% - Accent5 7 2 5 3" xfId="22794"/>
    <cellStyle name="40% - Accent5 7 2 6" xfId="4724"/>
    <cellStyle name="40% - Accent5 7 2 6 2" xfId="13819"/>
    <cellStyle name="40% - Accent5 7 2 6 2 2" xfId="27368"/>
    <cellStyle name="40% - Accent5 7 2 6 3" xfId="23242"/>
    <cellStyle name="40% - Accent5 7 2 7" xfId="4725"/>
    <cellStyle name="40% - Accent5 7 2 7 2" xfId="14400"/>
    <cellStyle name="40% - Accent5 7 2 7 2 2" xfId="27949"/>
    <cellStyle name="40% - Accent5 7 2 7 3" xfId="23291"/>
    <cellStyle name="40% - Accent5 7 2 8" xfId="4726"/>
    <cellStyle name="40% - Accent5 7 2 8 2" xfId="15468"/>
    <cellStyle name="40% - Accent5 7 2 8 2 2" xfId="29017"/>
    <cellStyle name="40% - Accent5 7 2 8 3" xfId="22793"/>
    <cellStyle name="40% - Accent5 7 2 9" xfId="4727"/>
    <cellStyle name="40% - Accent5 7 2 9 2" xfId="16286"/>
    <cellStyle name="40% - Accent5 7 2 9 2 2" xfId="29693"/>
    <cellStyle name="40% - Accent5 7 2 9 3" xfId="24217"/>
    <cellStyle name="40% - Accent5 7 3" xfId="4728"/>
    <cellStyle name="40% - Accent5 7 3 2" xfId="4729"/>
    <cellStyle name="40% - Accent5 7 3 2 2" xfId="11227"/>
    <cellStyle name="40% - Accent5 7 3 2 2 2" xfId="25169"/>
    <cellStyle name="40% - Accent5 7 3 2 3" xfId="24216"/>
    <cellStyle name="40% - Accent5 7 3 3" xfId="4730"/>
    <cellStyle name="40% - Accent5 7 3 3 2" xfId="13012"/>
    <cellStyle name="40% - Accent5 7 3 3 2 2" xfId="26724"/>
    <cellStyle name="40% - Accent5 7 3 3 3" xfId="22791"/>
    <cellStyle name="40% - Accent5 7 3 4" xfId="4731"/>
    <cellStyle name="40% - Accent5 7 3 4 2" xfId="15471"/>
    <cellStyle name="40% - Accent5 7 3 4 2 2" xfId="29020"/>
    <cellStyle name="40% - Accent5 7 3 4 3" xfId="24215"/>
    <cellStyle name="40% - Accent5 7 3 5" xfId="4732"/>
    <cellStyle name="40% - Accent5 7 3 5 2" xfId="16578"/>
    <cellStyle name="40% - Accent5 7 3 5 2 2" xfId="29985"/>
    <cellStyle name="40% - Accent5 7 3 5 3" xfId="22790"/>
    <cellStyle name="40% - Accent5 7 3 6" xfId="9500"/>
    <cellStyle name="40% - Accent5 7 3 6 2" xfId="23975"/>
    <cellStyle name="40% - Accent5 7 3 7" xfId="22792"/>
    <cellStyle name="40% - Accent5 7 4" xfId="4733"/>
    <cellStyle name="40% - Accent5 7 4 2" xfId="4734"/>
    <cellStyle name="40% - Accent5 7 4 2 2" xfId="15472"/>
    <cellStyle name="40% - Accent5 7 4 2 2 2" xfId="29021"/>
    <cellStyle name="40% - Accent5 7 4 2 3" xfId="22789"/>
    <cellStyle name="40% - Accent5 7 4 3" xfId="11224"/>
    <cellStyle name="40% - Accent5 7 4 3 2" xfId="25166"/>
    <cellStyle name="40% - Accent5 7 4 4" xfId="24214"/>
    <cellStyle name="40% - Accent5 7 5" xfId="4735"/>
    <cellStyle name="40% - Accent5 7 5 2" xfId="11953"/>
    <cellStyle name="40% - Accent5 7 5 2 2" xfId="25668"/>
    <cellStyle name="40% - Accent5 7 5 3" xfId="24212"/>
    <cellStyle name="40% - Accent5 7 6" xfId="4736"/>
    <cellStyle name="40% - Accent5 7 6 2" xfId="13009"/>
    <cellStyle name="40% - Accent5 7 6 2 2" xfId="26721"/>
    <cellStyle name="40% - Accent5 7 6 3" xfId="24213"/>
    <cellStyle name="40% - Accent5 7 7" xfId="4737"/>
    <cellStyle name="40% - Accent5 7 7 2" xfId="13530"/>
    <cellStyle name="40% - Accent5 7 7 2 2" xfId="27079"/>
    <cellStyle name="40% - Accent5 7 7 3" xfId="22788"/>
    <cellStyle name="40% - Accent5 7 8" xfId="4738"/>
    <cellStyle name="40% - Accent5 7 8 2" xfId="14111"/>
    <cellStyle name="40% - Accent5 7 8 2 2" xfId="27660"/>
    <cellStyle name="40% - Accent5 7 8 3" xfId="22787"/>
    <cellStyle name="40% - Accent5 7 9" xfId="4739"/>
    <cellStyle name="40% - Accent5 7 9 2" xfId="15467"/>
    <cellStyle name="40% - Accent5 7 9 2 2" xfId="29016"/>
    <cellStyle name="40% - Accent5 7 9 3" xfId="24211"/>
    <cellStyle name="40% - Accent5 8" xfId="4740"/>
    <cellStyle name="40% - Accent5 8 10" xfId="9501"/>
    <cellStyle name="40% - Accent5 8 10 2" xfId="23976"/>
    <cellStyle name="40% - Accent5 8 11" xfId="26828"/>
    <cellStyle name="40% - Accent5 8 2" xfId="4741"/>
    <cellStyle name="40% - Accent5 8 2 2" xfId="4742"/>
    <cellStyle name="40% - Accent5 8 2 2 2" xfId="11229"/>
    <cellStyle name="40% - Accent5 8 2 2 2 2" xfId="25171"/>
    <cellStyle name="40% - Accent5 8 2 2 3" xfId="26829"/>
    <cellStyle name="40% - Accent5 8 2 3" xfId="4743"/>
    <cellStyle name="40% - Accent5 8 2 3 2" xfId="13014"/>
    <cellStyle name="40% - Accent5 8 2 3 2 2" xfId="26726"/>
    <cellStyle name="40% - Accent5 8 2 3 3" xfId="22785"/>
    <cellStyle name="40% - Accent5 8 2 4" xfId="4744"/>
    <cellStyle name="40% - Accent5 8 2 4 2" xfId="15474"/>
    <cellStyle name="40% - Accent5 8 2 4 2 2" xfId="29023"/>
    <cellStyle name="40% - Accent5 8 2 4 3" xfId="22784"/>
    <cellStyle name="40% - Accent5 8 2 5" xfId="4745"/>
    <cellStyle name="40% - Accent5 8 2 5 2" xfId="16722"/>
    <cellStyle name="40% - Accent5 8 2 5 2 2" xfId="30129"/>
    <cellStyle name="40% - Accent5 8 2 5 3" xfId="24209"/>
    <cellStyle name="40% - Accent5 8 2 6" xfId="9502"/>
    <cellStyle name="40% - Accent5 8 2 6 2" xfId="23977"/>
    <cellStyle name="40% - Accent5 8 2 7" xfId="22786"/>
    <cellStyle name="40% - Accent5 8 3" xfId="4746"/>
    <cellStyle name="40% - Accent5 8 3 2" xfId="4747"/>
    <cellStyle name="40% - Accent5 8 3 2 2" xfId="15475"/>
    <cellStyle name="40% - Accent5 8 3 2 2 2" xfId="29024"/>
    <cellStyle name="40% - Accent5 8 3 2 3" xfId="22783"/>
    <cellStyle name="40% - Accent5 8 3 3" xfId="11228"/>
    <cellStyle name="40% - Accent5 8 3 3 2" xfId="25170"/>
    <cellStyle name="40% - Accent5 8 3 4" xfId="24210"/>
    <cellStyle name="40% - Accent5 8 4" xfId="4748"/>
    <cellStyle name="40% - Accent5 8 4 2" xfId="12100"/>
    <cellStyle name="40% - Accent5 8 4 2 2" xfId="25814"/>
    <cellStyle name="40% - Accent5 8 4 3" xfId="22782"/>
    <cellStyle name="40% - Accent5 8 5" xfId="4749"/>
    <cellStyle name="40% - Accent5 8 5 2" xfId="13013"/>
    <cellStyle name="40% - Accent5 8 5 2 2" xfId="26725"/>
    <cellStyle name="40% - Accent5 8 5 3" xfId="24208"/>
    <cellStyle name="40% - Accent5 8 6" xfId="4750"/>
    <cellStyle name="40% - Accent5 8 6 2" xfId="13674"/>
    <cellStyle name="40% - Accent5 8 6 2 2" xfId="27223"/>
    <cellStyle name="40% - Accent5 8 6 3" xfId="22781"/>
    <cellStyle name="40% - Accent5 8 7" xfId="4751"/>
    <cellStyle name="40% - Accent5 8 7 2" xfId="14255"/>
    <cellStyle name="40% - Accent5 8 7 2 2" xfId="27804"/>
    <cellStyle name="40% - Accent5 8 7 3" xfId="24205"/>
    <cellStyle name="40% - Accent5 8 8" xfId="4752"/>
    <cellStyle name="40% - Accent5 8 8 2" xfId="15473"/>
    <cellStyle name="40% - Accent5 8 8 2 2" xfId="29022"/>
    <cellStyle name="40% - Accent5 8 8 3" xfId="22780"/>
    <cellStyle name="40% - Accent5 8 9" xfId="4753"/>
    <cellStyle name="40% - Accent5 8 9 2" xfId="16141"/>
    <cellStyle name="40% - Accent5 8 9 2 2" xfId="29548"/>
    <cellStyle name="40% - Accent5 8 9 3" xfId="25255"/>
    <cellStyle name="40% - Accent5 9" xfId="4754"/>
    <cellStyle name="40% - Accent5 9 2" xfId="4755"/>
    <cellStyle name="40% - Accent5 9 2 2" xfId="11230"/>
    <cellStyle name="40% - Accent5 9 2 2 2" xfId="25172"/>
    <cellStyle name="40% - Accent5 9 2 3" xfId="24445"/>
    <cellStyle name="40% - Accent5 9 3" xfId="4756"/>
    <cellStyle name="40% - Accent5 9 3 2" xfId="13015"/>
    <cellStyle name="40% - Accent5 9 3 2 2" xfId="26727"/>
    <cellStyle name="40% - Accent5 9 3 3" xfId="29141"/>
    <cellStyle name="40% - Accent5 9 4" xfId="4757"/>
    <cellStyle name="40% - Accent5 9 4 2" xfId="15476"/>
    <cellStyle name="40% - Accent5 9 4 2 2" xfId="29025"/>
    <cellStyle name="40% - Accent5 9 4 3" xfId="22778"/>
    <cellStyle name="40% - Accent5 9 5" xfId="4758"/>
    <cellStyle name="40% - Accent5 9 5 2" xfId="17106"/>
    <cellStyle name="40% - Accent5 9 5 2 2" xfId="30465"/>
    <cellStyle name="40% - Accent5 9 5 3" xfId="22777"/>
    <cellStyle name="40% - Accent5 9 6" xfId="9503"/>
    <cellStyle name="40% - Accent5 9 6 2" xfId="23978"/>
    <cellStyle name="40% - Accent5 9 7" xfId="22779"/>
    <cellStyle name="40% - Accent6" xfId="48" builtinId="51" customBuiltin="1"/>
    <cellStyle name="40% - Accent6 10" xfId="4759"/>
    <cellStyle name="40% - Accent6 10 2" xfId="4760"/>
    <cellStyle name="40% - Accent6 10 2 2" xfId="4761"/>
    <cellStyle name="40% - Accent6 10 2 2 2" xfId="13018"/>
    <cellStyle name="40% - Accent6 10 2 2 2 2" xfId="26730"/>
    <cellStyle name="40% - Accent6 10 2 2 3" xfId="24206"/>
    <cellStyle name="40% - Accent6 10 2 3" xfId="4762"/>
    <cellStyle name="40% - Accent6 10 2 3 2" xfId="15479"/>
    <cellStyle name="40% - Accent6 10 2 3 2 2" xfId="29028"/>
    <cellStyle name="40% - Accent6 10 2 3 3" xfId="22775"/>
    <cellStyle name="40% - Accent6 10 2 4" xfId="11232"/>
    <cellStyle name="40% - Accent6 10 2 4 2" xfId="25174"/>
    <cellStyle name="40% - Accent6 10 2 5" xfId="22776"/>
    <cellStyle name="40% - Accent6 10 3" xfId="4763"/>
    <cellStyle name="40% - Accent6 10 3 2" xfId="13017"/>
    <cellStyle name="40% - Accent6 10 3 2 2" xfId="26729"/>
    <cellStyle name="40% - Accent6 10 3 3" xfId="23244"/>
    <cellStyle name="40% - Accent6 10 4" xfId="4764"/>
    <cellStyle name="40% - Accent6 10 4 2" xfId="15478"/>
    <cellStyle name="40% - Accent6 10 4 2 2" xfId="29027"/>
    <cellStyle name="40% - Accent6 10 4 3" xfId="24204"/>
    <cellStyle name="40% - Accent6 10 5" xfId="4765"/>
    <cellStyle name="40% - Accent6 10 5 2" xfId="17196"/>
    <cellStyle name="40% - Accent6 10 5 2 2" xfId="30555"/>
    <cellStyle name="40% - Accent6 10 5 3" xfId="22774"/>
    <cellStyle name="40% - Accent6 10 6" xfId="9505"/>
    <cellStyle name="40% - Accent6 10 6 2" xfId="23980"/>
    <cellStyle name="40% - Accent6 10 7" xfId="24207"/>
    <cellStyle name="40% - Accent6 11" xfId="4766"/>
    <cellStyle name="40% - Accent6 11 2" xfId="4767"/>
    <cellStyle name="40% - Accent6 11 2 2" xfId="11233"/>
    <cellStyle name="40% - Accent6 11 2 2 2" xfId="25175"/>
    <cellStyle name="40% - Accent6 11 2 3" xfId="22773"/>
    <cellStyle name="40% - Accent6 11 3" xfId="4768"/>
    <cellStyle name="40% - Accent6 11 3 2" xfId="13019"/>
    <cellStyle name="40% - Accent6 11 3 2 2" xfId="26731"/>
    <cellStyle name="40% - Accent6 11 3 3" xfId="24202"/>
    <cellStyle name="40% - Accent6 11 4" xfId="4769"/>
    <cellStyle name="40% - Accent6 11 4 2" xfId="15480"/>
    <cellStyle name="40% - Accent6 11 4 2 2" xfId="29029"/>
    <cellStyle name="40% - Accent6 11 4 3" xfId="22772"/>
    <cellStyle name="40% - Accent6 11 5" xfId="4770"/>
    <cellStyle name="40% - Accent6 11 5 2" xfId="17285"/>
    <cellStyle name="40% - Accent6 11 5 2 2" xfId="30644"/>
    <cellStyle name="40% - Accent6 11 5 3" xfId="24201"/>
    <cellStyle name="40% - Accent6 11 6" xfId="9506"/>
    <cellStyle name="40% - Accent6 11 6 2" xfId="23981"/>
    <cellStyle name="40% - Accent6 11 7" xfId="24203"/>
    <cellStyle name="40% - Accent6 12" xfId="4771"/>
    <cellStyle name="40% - Accent6 12 2" xfId="4772"/>
    <cellStyle name="40% - Accent6 12 2 2" xfId="4773"/>
    <cellStyle name="40% - Accent6 12 2 2 2" xfId="11235"/>
    <cellStyle name="40% - Accent6 12 2 2 2 2" xfId="25177"/>
    <cellStyle name="40% - Accent6 12 2 2 3" xfId="24200"/>
    <cellStyle name="40% - Accent6 12 2 3" xfId="4774"/>
    <cellStyle name="40% - Accent6 12 2 3 2" xfId="13021"/>
    <cellStyle name="40% - Accent6 12 2 3 2 2" xfId="26733"/>
    <cellStyle name="40% - Accent6 12 2 3 3" xfId="22770"/>
    <cellStyle name="40% - Accent6 12 2 4" xfId="4775"/>
    <cellStyle name="40% - Accent6 12 2 4 2" xfId="15482"/>
    <cellStyle name="40% - Accent6 12 2 4 2 2" xfId="29031"/>
    <cellStyle name="40% - Accent6 12 2 4 3" xfId="22769"/>
    <cellStyle name="40% - Accent6 12 2 5" xfId="9508"/>
    <cellStyle name="40% - Accent6 12 2 5 2" xfId="23983"/>
    <cellStyle name="40% - Accent6 12 2 6" xfId="24199"/>
    <cellStyle name="40% - Accent6 12 3" xfId="4776"/>
    <cellStyle name="40% - Accent6 12 3 2" xfId="11234"/>
    <cellStyle name="40% - Accent6 12 3 2 2" xfId="25176"/>
    <cellStyle name="40% - Accent6 12 3 3" xfId="24198"/>
    <cellStyle name="40% - Accent6 12 4" xfId="4777"/>
    <cellStyle name="40% - Accent6 12 4 2" xfId="13020"/>
    <cellStyle name="40% - Accent6 12 4 2 2" xfId="26732"/>
    <cellStyle name="40% - Accent6 12 4 3" xfId="26826"/>
    <cellStyle name="40% - Accent6 12 5" xfId="4778"/>
    <cellStyle name="40% - Accent6 12 5 2" xfId="15481"/>
    <cellStyle name="40% - Accent6 12 5 2 2" xfId="29030"/>
    <cellStyle name="40% - Accent6 12 5 3" xfId="22768"/>
    <cellStyle name="40% - Accent6 12 6" xfId="4779"/>
    <cellStyle name="40% - Accent6 12 6 2" xfId="16437"/>
    <cellStyle name="40% - Accent6 12 6 2 2" xfId="29844"/>
    <cellStyle name="40% - Accent6 12 6 3" xfId="26827"/>
    <cellStyle name="40% - Accent6 12 7" xfId="9507"/>
    <cellStyle name="40% - Accent6 12 7 2" xfId="23982"/>
    <cellStyle name="40% - Accent6 12 8" xfId="22771"/>
    <cellStyle name="40% - Accent6 13" xfId="4780"/>
    <cellStyle name="40% - Accent6 13 2" xfId="4781"/>
    <cellStyle name="40% - Accent6 13 2 2" xfId="11236"/>
    <cellStyle name="40% - Accent6 13 2 2 2" xfId="25178"/>
    <cellStyle name="40% - Accent6 13 2 3" xfId="22766"/>
    <cellStyle name="40% - Accent6 13 3" xfId="4782"/>
    <cellStyle name="40% - Accent6 13 3 2" xfId="13022"/>
    <cellStyle name="40% - Accent6 13 3 2 2" xfId="26734"/>
    <cellStyle name="40% - Accent6 13 3 3" xfId="24196"/>
    <cellStyle name="40% - Accent6 13 4" xfId="4783"/>
    <cellStyle name="40% - Accent6 13 4 2" xfId="15483"/>
    <cellStyle name="40% - Accent6 13 4 2 2" xfId="29032"/>
    <cellStyle name="40% - Accent6 13 4 3" xfId="24197"/>
    <cellStyle name="40% - Accent6 13 5" xfId="9509"/>
    <cellStyle name="40% - Accent6 13 5 2" xfId="23984"/>
    <cellStyle name="40% - Accent6 13 6" xfId="22767"/>
    <cellStyle name="40% - Accent6 14" xfId="4784"/>
    <cellStyle name="40% - Accent6 14 2" xfId="4785"/>
    <cellStyle name="40% - Accent6 14 2 2" xfId="11237"/>
    <cellStyle name="40% - Accent6 14 2 2 2" xfId="25179"/>
    <cellStyle name="40% - Accent6 14 2 3" xfId="22764"/>
    <cellStyle name="40% - Accent6 14 3" xfId="4786"/>
    <cellStyle name="40% - Accent6 14 3 2" xfId="13023"/>
    <cellStyle name="40% - Accent6 14 3 2 2" xfId="26735"/>
    <cellStyle name="40% - Accent6 14 3 3" xfId="24195"/>
    <cellStyle name="40% - Accent6 14 4" xfId="4787"/>
    <cellStyle name="40% - Accent6 14 4 2" xfId="15484"/>
    <cellStyle name="40% - Accent6 14 4 2 2" xfId="29033"/>
    <cellStyle name="40% - Accent6 14 4 3" xfId="22763"/>
    <cellStyle name="40% - Accent6 14 5" xfId="9510"/>
    <cellStyle name="40% - Accent6 14 5 2" xfId="23985"/>
    <cellStyle name="40% - Accent6 14 6" xfId="22765"/>
    <cellStyle name="40% - Accent6 15" xfId="4788"/>
    <cellStyle name="40% - Accent6 15 2" xfId="4789"/>
    <cellStyle name="40% - Accent6 15 2 2" xfId="11238"/>
    <cellStyle name="40% - Accent6 15 2 2 2" xfId="25180"/>
    <cellStyle name="40% - Accent6 15 2 3" xfId="22762"/>
    <cellStyle name="40% - Accent6 15 3" xfId="4790"/>
    <cellStyle name="40% - Accent6 15 3 2" xfId="13024"/>
    <cellStyle name="40% - Accent6 15 3 2 2" xfId="26736"/>
    <cellStyle name="40% - Accent6 15 3 3" xfId="25254"/>
    <cellStyle name="40% - Accent6 15 4" xfId="4791"/>
    <cellStyle name="40% - Accent6 15 4 2" xfId="15485"/>
    <cellStyle name="40% - Accent6 15 4 2 2" xfId="29034"/>
    <cellStyle name="40% - Accent6 15 4 3" xfId="22761"/>
    <cellStyle name="40% - Accent6 15 5" xfId="9511"/>
    <cellStyle name="40% - Accent6 15 5 2" xfId="23986"/>
    <cellStyle name="40% - Accent6 15 6" xfId="24192"/>
    <cellStyle name="40% - Accent6 16" xfId="4792"/>
    <cellStyle name="40% - Accent6 16 2" xfId="4793"/>
    <cellStyle name="40% - Accent6 16 2 2" xfId="11239"/>
    <cellStyle name="40% - Accent6 16 2 2 2" xfId="25181"/>
    <cellStyle name="40% - Accent6 16 2 3" xfId="29140"/>
    <cellStyle name="40% - Accent6 16 3" xfId="4794"/>
    <cellStyle name="40% - Accent6 16 3 2" xfId="13025"/>
    <cellStyle name="40% - Accent6 16 3 2 2" xfId="26737"/>
    <cellStyle name="40% - Accent6 16 3 3" xfId="22760"/>
    <cellStyle name="40% - Accent6 16 4" xfId="4795"/>
    <cellStyle name="40% - Accent6 16 4 2" xfId="15486"/>
    <cellStyle name="40% - Accent6 16 4 2 2" xfId="29035"/>
    <cellStyle name="40% - Accent6 16 4 3" xfId="22759"/>
    <cellStyle name="40% - Accent6 16 5" xfId="9512"/>
    <cellStyle name="40% - Accent6 16 5 2" xfId="23987"/>
    <cellStyle name="40% - Accent6 16 6" xfId="24444"/>
    <cellStyle name="40% - Accent6 17" xfId="4796"/>
    <cellStyle name="40% - Accent6 17 2" xfId="4797"/>
    <cellStyle name="40% - Accent6 17 2 2" xfId="11240"/>
    <cellStyle name="40% - Accent6 17 2 2 2" xfId="25182"/>
    <cellStyle name="40% - Accent6 17 2 3" xfId="22758"/>
    <cellStyle name="40% - Accent6 17 3" xfId="4798"/>
    <cellStyle name="40% - Accent6 17 3 2" xfId="13026"/>
    <cellStyle name="40% - Accent6 17 3 2 2" xfId="26738"/>
    <cellStyle name="40% - Accent6 17 3 3" xfId="24193"/>
    <cellStyle name="40% - Accent6 17 4" xfId="4799"/>
    <cellStyle name="40% - Accent6 17 4 2" xfId="15487"/>
    <cellStyle name="40% - Accent6 17 4 2 2" xfId="29036"/>
    <cellStyle name="40% - Accent6 17 4 3" xfId="22757"/>
    <cellStyle name="40% - Accent6 17 5" xfId="9513"/>
    <cellStyle name="40% - Accent6 17 5 2" xfId="23988"/>
    <cellStyle name="40% - Accent6 17 6" xfId="24194"/>
    <cellStyle name="40% - Accent6 18" xfId="4800"/>
    <cellStyle name="40% - Accent6 18 2" xfId="4801"/>
    <cellStyle name="40% - Accent6 18 2 2" xfId="11241"/>
    <cellStyle name="40% - Accent6 18 2 2 2" xfId="25183"/>
    <cellStyle name="40% - Accent6 18 2 3" xfId="24191"/>
    <cellStyle name="40% - Accent6 18 3" xfId="4802"/>
    <cellStyle name="40% - Accent6 18 3 2" xfId="13027"/>
    <cellStyle name="40% - Accent6 18 3 2 2" xfId="26739"/>
    <cellStyle name="40% - Accent6 18 3 3" xfId="22756"/>
    <cellStyle name="40% - Accent6 18 4" xfId="4803"/>
    <cellStyle name="40% - Accent6 18 4 2" xfId="15488"/>
    <cellStyle name="40% - Accent6 18 4 2 2" xfId="29037"/>
    <cellStyle name="40% - Accent6 18 4 3" xfId="24190"/>
    <cellStyle name="40% - Accent6 18 5" xfId="9514"/>
    <cellStyle name="40% - Accent6 18 5 2" xfId="23989"/>
    <cellStyle name="40% - Accent6 18 6" xfId="23243"/>
    <cellStyle name="40% - Accent6 19" xfId="4804"/>
    <cellStyle name="40% - Accent6 19 2" xfId="4805"/>
    <cellStyle name="40% - Accent6 19 2 2" xfId="11721"/>
    <cellStyle name="40% - Accent6 19 2 2 2" xfId="25441"/>
    <cellStyle name="40% - Accent6 19 2 3" xfId="24189"/>
    <cellStyle name="40% - Accent6 19 3" xfId="4806"/>
    <cellStyle name="40% - Accent6 19 3 2" xfId="13028"/>
    <cellStyle name="40% - Accent6 19 3 2 2" xfId="26740"/>
    <cellStyle name="40% - Accent6 19 3 3" xfId="22754"/>
    <cellStyle name="40% - Accent6 19 4" xfId="4807"/>
    <cellStyle name="40% - Accent6 19 4 2" xfId="15489"/>
    <cellStyle name="40% - Accent6 19 4 2 2" xfId="29038"/>
    <cellStyle name="40% - Accent6 19 4 3" xfId="24188"/>
    <cellStyle name="40% - Accent6 19 5" xfId="10473"/>
    <cellStyle name="40% - Accent6 19 5 2" xfId="24432"/>
    <cellStyle name="40% - Accent6 19 6" xfId="22755"/>
    <cellStyle name="40% - Accent6 2" xfId="4808"/>
    <cellStyle name="40% - Accent6 2 10" xfId="4809"/>
    <cellStyle name="40% - Accent6 2 10 2" xfId="4810"/>
    <cellStyle name="40% - Accent6 2 10 2 2" xfId="15491"/>
    <cellStyle name="40% - Accent6 2 10 2 2 2" xfId="29040"/>
    <cellStyle name="40% - Accent6 2 10 2 3" xfId="24187"/>
    <cellStyle name="40% - Accent6 2 10 3" xfId="11849"/>
    <cellStyle name="40% - Accent6 2 10 3 2" xfId="25564"/>
    <cellStyle name="40% - Accent6 2 10 4" xfId="24186"/>
    <cellStyle name="40% - Accent6 2 11" xfId="4811"/>
    <cellStyle name="40% - Accent6 2 11 2" xfId="13029"/>
    <cellStyle name="40% - Accent6 2 11 2 2" xfId="26741"/>
    <cellStyle name="40% - Accent6 2 11 3" xfId="22752"/>
    <cellStyle name="40% - Accent6 2 12" xfId="4812"/>
    <cellStyle name="40% - Accent6 2 12 2" xfId="13446"/>
    <cellStyle name="40% - Accent6 2 12 2 2" xfId="26995"/>
    <cellStyle name="40% - Accent6 2 12 3" xfId="22751"/>
    <cellStyle name="40% - Accent6 2 13" xfId="4813"/>
    <cellStyle name="40% - Accent6 2 13 2" xfId="14027"/>
    <cellStyle name="40% - Accent6 2 13 2 2" xfId="27576"/>
    <cellStyle name="40% - Accent6 2 13 3" xfId="24185"/>
    <cellStyle name="40% - Accent6 2 14" xfId="4814"/>
    <cellStyle name="40% - Accent6 2 14 2" xfId="15490"/>
    <cellStyle name="40% - Accent6 2 14 2 2" xfId="29039"/>
    <cellStyle name="40% - Accent6 2 14 3" xfId="26824"/>
    <cellStyle name="40% - Accent6 2 15" xfId="4815"/>
    <cellStyle name="40% - Accent6 2 15 2" xfId="15913"/>
    <cellStyle name="40% - Accent6 2 15 2 2" xfId="29320"/>
    <cellStyle name="40% - Accent6 2 15 3" xfId="22750"/>
    <cellStyle name="40% - Accent6 2 16" xfId="9515"/>
    <cellStyle name="40% - Accent6 2 16 2" xfId="23990"/>
    <cellStyle name="40% - Accent6 2 17" xfId="22753"/>
    <cellStyle name="40% - Accent6 2 18" xfId="33083"/>
    <cellStyle name="40% - Accent6 2 2" xfId="4816"/>
    <cellStyle name="40% - Accent6 2 2 10" xfId="4817"/>
    <cellStyle name="40% - Accent6 2 2 10 2" xfId="15492"/>
    <cellStyle name="40% - Accent6 2 2 10 2 2" xfId="29041"/>
    <cellStyle name="40% - Accent6 2 2 10 3" xfId="22749"/>
    <cellStyle name="40% - Accent6 2 2 11" xfId="4818"/>
    <cellStyle name="40% - Accent6 2 2 11 2" xfId="15959"/>
    <cellStyle name="40% - Accent6 2 2 11 2 2" xfId="29366"/>
    <cellStyle name="40% - Accent6 2 2 11 3" xfId="22748"/>
    <cellStyle name="40% - Accent6 2 2 12" xfId="9516"/>
    <cellStyle name="40% - Accent6 2 2 12 2" xfId="23991"/>
    <cellStyle name="40% - Accent6 2 2 13" xfId="26825"/>
    <cellStyle name="40% - Accent6 2 2 2" xfId="4819"/>
    <cellStyle name="40% - Accent6 2 2 2 10" xfId="4820"/>
    <cellStyle name="40% - Accent6 2 2 2 10 2" xfId="16102"/>
    <cellStyle name="40% - Accent6 2 2 2 10 2 2" xfId="29509"/>
    <cellStyle name="40% - Accent6 2 2 2 10 3" xfId="24184"/>
    <cellStyle name="40% - Accent6 2 2 2 11" xfId="9517"/>
    <cellStyle name="40% - Accent6 2 2 2 11 2" xfId="23992"/>
    <cellStyle name="40% - Accent6 2 2 2 12" xfId="24183"/>
    <cellStyle name="40% - Accent6 2 2 2 2" xfId="4821"/>
    <cellStyle name="40% - Accent6 2 2 2 2 10" xfId="9518"/>
    <cellStyle name="40% - Accent6 2 2 2 2 10 2" xfId="23993"/>
    <cellStyle name="40% - Accent6 2 2 2 2 11" xfId="22747"/>
    <cellStyle name="40% - Accent6 2 2 2 2 2" xfId="4822"/>
    <cellStyle name="40% - Accent6 2 2 2 2 2 2" xfId="4823"/>
    <cellStyle name="40% - Accent6 2 2 2 2 2 2 2" xfId="11246"/>
    <cellStyle name="40% - Accent6 2 2 2 2 2 2 2 2" xfId="25188"/>
    <cellStyle name="40% - Accent6 2 2 2 2 2 2 3" xfId="24182"/>
    <cellStyle name="40% - Accent6 2 2 2 2 2 3" xfId="4824"/>
    <cellStyle name="40% - Accent6 2 2 2 2 2 3 2" xfId="13033"/>
    <cellStyle name="40% - Accent6 2 2 2 2 2 3 2 2" xfId="26745"/>
    <cellStyle name="40% - Accent6 2 2 2 2 2 3 3" xfId="22745"/>
    <cellStyle name="40% - Accent6 2 2 2 2 2 4" xfId="4825"/>
    <cellStyle name="40% - Accent6 2 2 2 2 2 4 2" xfId="15495"/>
    <cellStyle name="40% - Accent6 2 2 2 2 2 4 2 2" xfId="29044"/>
    <cellStyle name="40% - Accent6 2 2 2 2 2 4 3" xfId="24179"/>
    <cellStyle name="40% - Accent6 2 2 2 2 2 5" xfId="4826"/>
    <cellStyle name="40% - Accent6 2 2 2 2 2 5 2" xfId="16972"/>
    <cellStyle name="40% - Accent6 2 2 2 2 2 5 2 2" xfId="30379"/>
    <cellStyle name="40% - Accent6 2 2 2 2 2 5 3" xfId="22744"/>
    <cellStyle name="40% - Accent6 2 2 2 2 2 6" xfId="9519"/>
    <cellStyle name="40% - Accent6 2 2 2 2 2 6 2" xfId="23994"/>
    <cellStyle name="40% - Accent6 2 2 2 2 2 7" xfId="22746"/>
    <cellStyle name="40% - Accent6 2 2 2 2 3" xfId="4827"/>
    <cellStyle name="40% - Accent6 2 2 2 2 3 2" xfId="4828"/>
    <cellStyle name="40% - Accent6 2 2 2 2 3 2 2" xfId="15496"/>
    <cellStyle name="40% - Accent6 2 2 2 2 3 2 2 2" xfId="29045"/>
    <cellStyle name="40% - Accent6 2 2 2 2 3 2 3" xfId="22743"/>
    <cellStyle name="40% - Accent6 2 2 2 2 3 3" xfId="11245"/>
    <cellStyle name="40% - Accent6 2 2 2 2 3 3 2" xfId="25187"/>
    <cellStyle name="40% - Accent6 2 2 2 2 3 4" xfId="25253"/>
    <cellStyle name="40% - Accent6 2 2 2 2 4" xfId="4829"/>
    <cellStyle name="40% - Accent6 2 2 2 2 4 2" xfId="12360"/>
    <cellStyle name="40% - Accent6 2 2 2 2 4 2 2" xfId="26072"/>
    <cellStyle name="40% - Accent6 2 2 2 2 4 3" xfId="24443"/>
    <cellStyle name="40% - Accent6 2 2 2 2 5" xfId="4830"/>
    <cellStyle name="40% - Accent6 2 2 2 2 5 2" xfId="13032"/>
    <cellStyle name="40% - Accent6 2 2 2 2 5 2 2" xfId="26744"/>
    <cellStyle name="40% - Accent6 2 2 2 2 5 3" xfId="29139"/>
    <cellStyle name="40% - Accent6 2 2 2 2 6" xfId="4831"/>
    <cellStyle name="40% - Accent6 2 2 2 2 6 2" xfId="13924"/>
    <cellStyle name="40% - Accent6 2 2 2 2 6 2 2" xfId="27473"/>
    <cellStyle name="40% - Accent6 2 2 2 2 6 3" xfId="22742"/>
    <cellStyle name="40% - Accent6 2 2 2 2 7" xfId="4832"/>
    <cellStyle name="40% - Accent6 2 2 2 2 7 2" xfId="14505"/>
    <cellStyle name="40% - Accent6 2 2 2 2 7 2 2" xfId="28054"/>
    <cellStyle name="40% - Accent6 2 2 2 2 7 3" xfId="22741"/>
    <cellStyle name="40% - Accent6 2 2 2 2 8" xfId="4833"/>
    <cellStyle name="40% - Accent6 2 2 2 2 8 2" xfId="15494"/>
    <cellStyle name="40% - Accent6 2 2 2 2 8 2 2" xfId="29043"/>
    <cellStyle name="40% - Accent6 2 2 2 2 8 3" xfId="24181"/>
    <cellStyle name="40% - Accent6 2 2 2 2 9" xfId="4834"/>
    <cellStyle name="40% - Accent6 2 2 2 2 9 2" xfId="16391"/>
    <cellStyle name="40% - Accent6 2 2 2 2 9 2 2" xfId="29798"/>
    <cellStyle name="40% - Accent6 2 2 2 2 9 3" xfId="22740"/>
    <cellStyle name="40% - Accent6 2 2 2 3" xfId="4835"/>
    <cellStyle name="40% - Accent6 2 2 2 3 2" xfId="4836"/>
    <cellStyle name="40% - Accent6 2 2 2 3 2 2" xfId="11247"/>
    <cellStyle name="40% - Accent6 2 2 2 3 2 2 2" xfId="25189"/>
    <cellStyle name="40% - Accent6 2 2 2 3 2 3" xfId="22739"/>
    <cellStyle name="40% - Accent6 2 2 2 3 3" xfId="4837"/>
    <cellStyle name="40% - Accent6 2 2 2 3 3 2" xfId="13034"/>
    <cellStyle name="40% - Accent6 2 2 2 3 3 2 2" xfId="26746"/>
    <cellStyle name="40% - Accent6 2 2 2 3 3 3" xfId="23262"/>
    <cellStyle name="40% - Accent6 2 2 2 3 4" xfId="4838"/>
    <cellStyle name="40% - Accent6 2 2 2 3 4 2" xfId="15497"/>
    <cellStyle name="40% - Accent6 2 2 2 3 4 2 2" xfId="29046"/>
    <cellStyle name="40% - Accent6 2 2 2 3 4 3" xfId="23293"/>
    <cellStyle name="40% - Accent6 2 2 2 3 5" xfId="4839"/>
    <cellStyle name="40% - Accent6 2 2 2 3 5 2" xfId="16683"/>
    <cellStyle name="40% - Accent6 2 2 2 3 5 2 2" xfId="30090"/>
    <cellStyle name="40% - Accent6 2 2 2 3 5 3" xfId="22738"/>
    <cellStyle name="40% - Accent6 2 2 2 3 6" xfId="9520"/>
    <cellStyle name="40% - Accent6 2 2 2 3 6 2" xfId="23995"/>
    <cellStyle name="40% - Accent6 2 2 2 3 7" xfId="24180"/>
    <cellStyle name="40% - Accent6 2 2 2 4" xfId="4840"/>
    <cellStyle name="40% - Accent6 2 2 2 4 2" xfId="4841"/>
    <cellStyle name="40% - Accent6 2 2 2 4 2 2" xfId="15498"/>
    <cellStyle name="40% - Accent6 2 2 2 4 2 2 2" xfId="29047"/>
    <cellStyle name="40% - Accent6 2 2 2 4 2 3" xfId="22737"/>
    <cellStyle name="40% - Accent6 2 2 2 4 3" xfId="11244"/>
    <cellStyle name="40% - Accent6 2 2 2 4 3 2" xfId="25186"/>
    <cellStyle name="40% - Accent6 2 2 2 4 4" xfId="24178"/>
    <cellStyle name="40% - Accent6 2 2 2 5" xfId="4842"/>
    <cellStyle name="40% - Accent6 2 2 2 5 2" xfId="12060"/>
    <cellStyle name="40% - Accent6 2 2 2 5 2 2" xfId="25775"/>
    <cellStyle name="40% - Accent6 2 2 2 5 3" xfId="24177"/>
    <cellStyle name="40% - Accent6 2 2 2 6" xfId="4843"/>
    <cellStyle name="40% - Accent6 2 2 2 6 2" xfId="13031"/>
    <cellStyle name="40% - Accent6 2 2 2 6 2 2" xfId="26743"/>
    <cellStyle name="40% - Accent6 2 2 2 6 3" xfId="22736"/>
    <cellStyle name="40% - Accent6 2 2 2 7" xfId="4844"/>
    <cellStyle name="40% - Accent6 2 2 2 7 2" xfId="13635"/>
    <cellStyle name="40% - Accent6 2 2 2 7 2 2" xfId="27184"/>
    <cellStyle name="40% - Accent6 2 2 2 7 3" xfId="24176"/>
    <cellStyle name="40% - Accent6 2 2 2 8" xfId="4845"/>
    <cellStyle name="40% - Accent6 2 2 2 8 2" xfId="14216"/>
    <cellStyle name="40% - Accent6 2 2 2 8 2 2" xfId="27765"/>
    <cellStyle name="40% - Accent6 2 2 2 8 3" xfId="22735"/>
    <cellStyle name="40% - Accent6 2 2 2 9" xfId="4846"/>
    <cellStyle name="40% - Accent6 2 2 2 9 2" xfId="15493"/>
    <cellStyle name="40% - Accent6 2 2 2 9 2 2" xfId="29042"/>
    <cellStyle name="40% - Accent6 2 2 2 9 3" xfId="24175"/>
    <cellStyle name="40% - Accent6 2 2 3" xfId="4847"/>
    <cellStyle name="40% - Accent6 2 2 3 10" xfId="9521"/>
    <cellStyle name="40% - Accent6 2 2 3 10 2" xfId="23996"/>
    <cellStyle name="40% - Accent6 2 2 3 11" xfId="22734"/>
    <cellStyle name="40% - Accent6 2 2 3 2" xfId="4848"/>
    <cellStyle name="40% - Accent6 2 2 3 2 2" xfId="4849"/>
    <cellStyle name="40% - Accent6 2 2 3 2 2 2" xfId="11249"/>
    <cellStyle name="40% - Accent6 2 2 3 2 2 2 2" xfId="25191"/>
    <cellStyle name="40% - Accent6 2 2 3 2 2 3" xfId="24174"/>
    <cellStyle name="40% - Accent6 2 2 3 2 3" xfId="4850"/>
    <cellStyle name="40% - Accent6 2 2 3 2 3 2" xfId="13036"/>
    <cellStyle name="40% - Accent6 2 2 3 2 3 2 2" xfId="26748"/>
    <cellStyle name="40% - Accent6 2 2 3 2 3 3" xfId="22733"/>
    <cellStyle name="40% - Accent6 2 2 3 2 4" xfId="4851"/>
    <cellStyle name="40% - Accent6 2 2 3 2 4 2" xfId="15500"/>
    <cellStyle name="40% - Accent6 2 2 3 2 4 2 2" xfId="29049"/>
    <cellStyle name="40% - Accent6 2 2 3 2 4 3" xfId="22732"/>
    <cellStyle name="40% - Accent6 2 2 3 2 5" xfId="4852"/>
    <cellStyle name="40% - Accent6 2 2 3 2 5 2" xfId="16829"/>
    <cellStyle name="40% - Accent6 2 2 3 2 5 2 2" xfId="30236"/>
    <cellStyle name="40% - Accent6 2 2 3 2 5 3" xfId="24172"/>
    <cellStyle name="40% - Accent6 2 2 3 2 6" xfId="9522"/>
    <cellStyle name="40% - Accent6 2 2 3 2 6 2" xfId="23997"/>
    <cellStyle name="40% - Accent6 2 2 3 2 7" xfId="24173"/>
    <cellStyle name="40% - Accent6 2 2 3 3" xfId="4853"/>
    <cellStyle name="40% - Accent6 2 2 3 3 2" xfId="4854"/>
    <cellStyle name="40% - Accent6 2 2 3 3 2 2" xfId="15501"/>
    <cellStyle name="40% - Accent6 2 2 3 3 2 2 2" xfId="29050"/>
    <cellStyle name="40% - Accent6 2 2 3 3 2 3" xfId="22731"/>
    <cellStyle name="40% - Accent6 2 2 3 3 3" xfId="11248"/>
    <cellStyle name="40% - Accent6 2 2 3 3 3 2" xfId="25190"/>
    <cellStyle name="40% - Accent6 2 2 3 3 4" xfId="26822"/>
    <cellStyle name="40% - Accent6 2 2 3 4" xfId="4855"/>
    <cellStyle name="40% - Accent6 2 2 3 4 2" xfId="12217"/>
    <cellStyle name="40% - Accent6 2 2 3 4 2 2" xfId="25929"/>
    <cellStyle name="40% - Accent6 2 2 3 4 3" xfId="26823"/>
    <cellStyle name="40% - Accent6 2 2 3 5" xfId="4856"/>
    <cellStyle name="40% - Accent6 2 2 3 5 2" xfId="13035"/>
    <cellStyle name="40% - Accent6 2 2 3 5 2 2" xfId="26747"/>
    <cellStyle name="40% - Accent6 2 2 3 5 3" xfId="22730"/>
    <cellStyle name="40% - Accent6 2 2 3 6" xfId="4857"/>
    <cellStyle name="40% - Accent6 2 2 3 6 2" xfId="13781"/>
    <cellStyle name="40% - Accent6 2 2 3 6 2 2" xfId="27330"/>
    <cellStyle name="40% - Accent6 2 2 3 6 3" xfId="22729"/>
    <cellStyle name="40% - Accent6 2 2 3 7" xfId="4858"/>
    <cellStyle name="40% - Accent6 2 2 3 7 2" xfId="14362"/>
    <cellStyle name="40% - Accent6 2 2 3 7 2 2" xfId="27911"/>
    <cellStyle name="40% - Accent6 2 2 3 7 3" xfId="24170"/>
    <cellStyle name="40% - Accent6 2 2 3 8" xfId="4859"/>
    <cellStyle name="40% - Accent6 2 2 3 8 2" xfId="15499"/>
    <cellStyle name="40% - Accent6 2 2 3 8 2 2" xfId="29048"/>
    <cellStyle name="40% - Accent6 2 2 3 8 3" xfId="24171"/>
    <cellStyle name="40% - Accent6 2 2 3 9" xfId="4860"/>
    <cellStyle name="40% - Accent6 2 2 3 9 2" xfId="16248"/>
    <cellStyle name="40% - Accent6 2 2 3 9 2 2" xfId="29655"/>
    <cellStyle name="40% - Accent6 2 2 3 9 3" xfId="22728"/>
    <cellStyle name="40% - Accent6 2 2 4" xfId="4861"/>
    <cellStyle name="40% - Accent6 2 2 4 2" xfId="4862"/>
    <cellStyle name="40% - Accent6 2 2 4 2 2" xfId="11250"/>
    <cellStyle name="40% - Accent6 2 2 4 2 2 2" xfId="25192"/>
    <cellStyle name="40% - Accent6 2 2 4 2 3" xfId="24169"/>
    <cellStyle name="40% - Accent6 2 2 4 3" xfId="4863"/>
    <cellStyle name="40% - Accent6 2 2 4 3 2" xfId="13037"/>
    <cellStyle name="40% - Accent6 2 2 4 3 2 2" xfId="26749"/>
    <cellStyle name="40% - Accent6 2 2 4 3 3" xfId="22726"/>
    <cellStyle name="40% - Accent6 2 2 4 4" xfId="4864"/>
    <cellStyle name="40% - Accent6 2 2 4 4 2" xfId="15502"/>
    <cellStyle name="40% - Accent6 2 2 4 4 2 2" xfId="29051"/>
    <cellStyle name="40% - Accent6 2 2 4 4 3" xfId="24166"/>
    <cellStyle name="40% - Accent6 2 2 4 5" xfId="4865"/>
    <cellStyle name="40% - Accent6 2 2 4 5 2" xfId="17176"/>
    <cellStyle name="40% - Accent6 2 2 4 5 2 2" xfId="30535"/>
    <cellStyle name="40% - Accent6 2 2 4 5 3" xfId="22725"/>
    <cellStyle name="40% - Accent6 2 2 4 6" xfId="9523"/>
    <cellStyle name="40% - Accent6 2 2 4 6 2" xfId="23998"/>
    <cellStyle name="40% - Accent6 2 2 4 7" xfId="22727"/>
    <cellStyle name="40% - Accent6 2 2 5" xfId="4866"/>
    <cellStyle name="40% - Accent6 2 2 5 2" xfId="4867"/>
    <cellStyle name="40% - Accent6 2 2 5 2 2" xfId="15503"/>
    <cellStyle name="40% - Accent6 2 2 5 2 2 2" xfId="29052"/>
    <cellStyle name="40% - Accent6 2 2 5 2 3" xfId="22724"/>
    <cellStyle name="40% - Accent6 2 2 5 3" xfId="4868"/>
    <cellStyle name="40% - Accent6 2 2 5 3 2" xfId="17265"/>
    <cellStyle name="40% - Accent6 2 2 5 3 2 2" xfId="30624"/>
    <cellStyle name="40% - Accent6 2 2 5 3 3" xfId="24442"/>
    <cellStyle name="40% - Accent6 2 2 5 4" xfId="11243"/>
    <cellStyle name="40% - Accent6 2 2 5 4 2" xfId="25185"/>
    <cellStyle name="40% - Accent6 2 2 5 5" xfId="25252"/>
    <cellStyle name="40% - Accent6 2 2 6" xfId="4869"/>
    <cellStyle name="40% - Accent6 2 2 6 2" xfId="4870"/>
    <cellStyle name="40% - Accent6 2 2 6 2 2" xfId="16540"/>
    <cellStyle name="40% - Accent6 2 2 6 2 2 2" xfId="29947"/>
    <cellStyle name="40% - Accent6 2 2 6 2 3" xfId="22723"/>
    <cellStyle name="40% - Accent6 2 2 6 3" xfId="11915"/>
    <cellStyle name="40% - Accent6 2 2 6 3 2" xfId="25630"/>
    <cellStyle name="40% - Accent6 2 2 6 4" xfId="29138"/>
    <cellStyle name="40% - Accent6 2 2 7" xfId="4871"/>
    <cellStyle name="40% - Accent6 2 2 7 2" xfId="13030"/>
    <cellStyle name="40% - Accent6 2 2 7 2 2" xfId="26742"/>
    <cellStyle name="40% - Accent6 2 2 7 3" xfId="22722"/>
    <cellStyle name="40% - Accent6 2 2 8" xfId="4872"/>
    <cellStyle name="40% - Accent6 2 2 8 2" xfId="13492"/>
    <cellStyle name="40% - Accent6 2 2 8 2 2" xfId="27041"/>
    <cellStyle name="40% - Accent6 2 2 8 3" xfId="24168"/>
    <cellStyle name="40% - Accent6 2 2 9" xfId="4873"/>
    <cellStyle name="40% - Accent6 2 2 9 2" xfId="14073"/>
    <cellStyle name="40% - Accent6 2 2 9 2 2" xfId="27622"/>
    <cellStyle name="40% - Accent6 2 2 9 3" xfId="22721"/>
    <cellStyle name="40% - Accent6 2 3" xfId="4874"/>
    <cellStyle name="40% - Accent6 2 3 10" xfId="4875"/>
    <cellStyle name="40% - Accent6 2 3 10 2" xfId="16056"/>
    <cellStyle name="40% - Accent6 2 3 10 2 2" xfId="29463"/>
    <cellStyle name="40% - Accent6 2 3 10 3" xfId="22720"/>
    <cellStyle name="40% - Accent6 2 3 11" xfId="9524"/>
    <cellStyle name="40% - Accent6 2 3 11 2" xfId="23999"/>
    <cellStyle name="40% - Accent6 2 3 12" xfId="24167"/>
    <cellStyle name="40% - Accent6 2 3 2" xfId="4876"/>
    <cellStyle name="40% - Accent6 2 3 2 10" xfId="9525"/>
    <cellStyle name="40% - Accent6 2 3 2 10 2" xfId="24000"/>
    <cellStyle name="40% - Accent6 2 3 2 11" xfId="23256"/>
    <cellStyle name="40% - Accent6 2 3 2 2" xfId="4877"/>
    <cellStyle name="40% - Accent6 2 3 2 2 2" xfId="4878"/>
    <cellStyle name="40% - Accent6 2 3 2 2 2 2" xfId="11253"/>
    <cellStyle name="40% - Accent6 2 3 2 2 2 2 2" xfId="25195"/>
    <cellStyle name="40% - Accent6 2 3 2 2 2 3" xfId="22719"/>
    <cellStyle name="40% - Accent6 2 3 2 2 3" xfId="4879"/>
    <cellStyle name="40% - Accent6 2 3 2 2 3 2" xfId="13040"/>
    <cellStyle name="40% - Accent6 2 3 2 2 3 2 2" xfId="26752"/>
    <cellStyle name="40% - Accent6 2 3 2 2 3 3" xfId="24164"/>
    <cellStyle name="40% - Accent6 2 3 2 2 4" xfId="4880"/>
    <cellStyle name="40% - Accent6 2 3 2 2 4 2" xfId="15506"/>
    <cellStyle name="40% - Accent6 2 3 2 2 4 2 2" xfId="29055"/>
    <cellStyle name="40% - Accent6 2 3 2 2 4 3" xfId="22718"/>
    <cellStyle name="40% - Accent6 2 3 2 2 5" xfId="4881"/>
    <cellStyle name="40% - Accent6 2 3 2 2 5 2" xfId="16926"/>
    <cellStyle name="40% - Accent6 2 3 2 2 5 2 2" xfId="30333"/>
    <cellStyle name="40% - Accent6 2 3 2 2 5 3" xfId="24163"/>
    <cellStyle name="40% - Accent6 2 3 2 2 6" xfId="9526"/>
    <cellStyle name="40% - Accent6 2 3 2 2 6 2" xfId="24001"/>
    <cellStyle name="40% - Accent6 2 3 2 2 7" xfId="24165"/>
    <cellStyle name="40% - Accent6 2 3 2 3" xfId="4882"/>
    <cellStyle name="40% - Accent6 2 3 2 3 2" xfId="4883"/>
    <cellStyle name="40% - Accent6 2 3 2 3 2 2" xfId="15507"/>
    <cellStyle name="40% - Accent6 2 3 2 3 2 2 2" xfId="29056"/>
    <cellStyle name="40% - Accent6 2 3 2 3 2 3" xfId="24162"/>
    <cellStyle name="40% - Accent6 2 3 2 3 3" xfId="11252"/>
    <cellStyle name="40% - Accent6 2 3 2 3 3 2" xfId="25194"/>
    <cellStyle name="40% - Accent6 2 3 2 3 4" xfId="22717"/>
    <cellStyle name="40% - Accent6 2 3 2 4" xfId="4884"/>
    <cellStyle name="40% - Accent6 2 3 2 4 2" xfId="12314"/>
    <cellStyle name="40% - Accent6 2 3 2 4 2 2" xfId="26026"/>
    <cellStyle name="40% - Accent6 2 3 2 4 3" xfId="22716"/>
    <cellStyle name="40% - Accent6 2 3 2 5" xfId="4885"/>
    <cellStyle name="40% - Accent6 2 3 2 5 2" xfId="13039"/>
    <cellStyle name="40% - Accent6 2 3 2 5 2 2" xfId="26751"/>
    <cellStyle name="40% - Accent6 2 3 2 5 3" xfId="24160"/>
    <cellStyle name="40% - Accent6 2 3 2 6" xfId="4886"/>
    <cellStyle name="40% - Accent6 2 3 2 6 2" xfId="13878"/>
    <cellStyle name="40% - Accent6 2 3 2 6 2 2" xfId="27427"/>
    <cellStyle name="40% - Accent6 2 3 2 6 3" xfId="24161"/>
    <cellStyle name="40% - Accent6 2 3 2 7" xfId="4887"/>
    <cellStyle name="40% - Accent6 2 3 2 7 2" xfId="14459"/>
    <cellStyle name="40% - Accent6 2 3 2 7 2 2" xfId="28008"/>
    <cellStyle name="40% - Accent6 2 3 2 7 3" xfId="22715"/>
    <cellStyle name="40% - Accent6 2 3 2 8" xfId="4888"/>
    <cellStyle name="40% - Accent6 2 3 2 8 2" xfId="15505"/>
    <cellStyle name="40% - Accent6 2 3 2 8 2 2" xfId="29054"/>
    <cellStyle name="40% - Accent6 2 3 2 8 3" xfId="22714"/>
    <cellStyle name="40% - Accent6 2 3 2 9" xfId="4889"/>
    <cellStyle name="40% - Accent6 2 3 2 9 2" xfId="16345"/>
    <cellStyle name="40% - Accent6 2 3 2 9 2 2" xfId="29752"/>
    <cellStyle name="40% - Accent6 2 3 2 9 3" xfId="24159"/>
    <cellStyle name="40% - Accent6 2 3 3" xfId="4890"/>
    <cellStyle name="40% - Accent6 2 3 3 2" xfId="4891"/>
    <cellStyle name="40% - Accent6 2 3 3 2 2" xfId="11254"/>
    <cellStyle name="40% - Accent6 2 3 3 2 2 2" xfId="25196"/>
    <cellStyle name="40% - Accent6 2 3 3 2 3" xfId="22713"/>
    <cellStyle name="40% - Accent6 2 3 3 3" xfId="4892"/>
    <cellStyle name="40% - Accent6 2 3 3 3 2" xfId="13041"/>
    <cellStyle name="40% - Accent6 2 3 3 3 2 2" xfId="26753"/>
    <cellStyle name="40% - Accent6 2 3 3 3 3" xfId="26821"/>
    <cellStyle name="40% - Accent6 2 3 3 4" xfId="4893"/>
    <cellStyle name="40% - Accent6 2 3 3 4 2" xfId="15508"/>
    <cellStyle name="40% - Accent6 2 3 3 4 2 2" xfId="29057"/>
    <cellStyle name="40% - Accent6 2 3 3 4 3" xfId="22712"/>
    <cellStyle name="40% - Accent6 2 3 3 5" xfId="4894"/>
    <cellStyle name="40% - Accent6 2 3 3 5 2" xfId="16637"/>
    <cellStyle name="40% - Accent6 2 3 3 5 2 2" xfId="30044"/>
    <cellStyle name="40% - Accent6 2 3 3 5 3" xfId="22711"/>
    <cellStyle name="40% - Accent6 2 3 3 6" xfId="9527"/>
    <cellStyle name="40% - Accent6 2 3 3 6 2" xfId="24002"/>
    <cellStyle name="40% - Accent6 2 3 3 7" xfId="26820"/>
    <cellStyle name="40% - Accent6 2 3 4" xfId="4895"/>
    <cellStyle name="40% - Accent6 2 3 4 2" xfId="4896"/>
    <cellStyle name="40% - Accent6 2 3 4 2 2" xfId="15509"/>
    <cellStyle name="40% - Accent6 2 3 4 2 2 2" xfId="29058"/>
    <cellStyle name="40% - Accent6 2 3 4 2 3" xfId="24158"/>
    <cellStyle name="40% - Accent6 2 3 4 3" xfId="11251"/>
    <cellStyle name="40% - Accent6 2 3 4 3 2" xfId="25193"/>
    <cellStyle name="40% - Accent6 2 3 4 4" xfId="24157"/>
    <cellStyle name="40% - Accent6 2 3 5" xfId="4897"/>
    <cellStyle name="40% - Accent6 2 3 5 2" xfId="12014"/>
    <cellStyle name="40% - Accent6 2 3 5 2 2" xfId="25729"/>
    <cellStyle name="40% - Accent6 2 3 5 3" xfId="22710"/>
    <cellStyle name="40% - Accent6 2 3 6" xfId="4898"/>
    <cellStyle name="40% - Accent6 2 3 6 2" xfId="13038"/>
    <cellStyle name="40% - Accent6 2 3 6 2 2" xfId="26750"/>
    <cellStyle name="40% - Accent6 2 3 6 3" xfId="22709"/>
    <cellStyle name="40% - Accent6 2 3 7" xfId="4899"/>
    <cellStyle name="40% - Accent6 2 3 7 2" xfId="13589"/>
    <cellStyle name="40% - Accent6 2 3 7 2 2" xfId="27138"/>
    <cellStyle name="40% - Accent6 2 3 7 3" xfId="24156"/>
    <cellStyle name="40% - Accent6 2 3 8" xfId="4900"/>
    <cellStyle name="40% - Accent6 2 3 8 2" xfId="14170"/>
    <cellStyle name="40% - Accent6 2 3 8 2 2" xfId="27719"/>
    <cellStyle name="40% - Accent6 2 3 8 3" xfId="22708"/>
    <cellStyle name="40% - Accent6 2 3 9" xfId="4901"/>
    <cellStyle name="40% - Accent6 2 3 9 2" xfId="15504"/>
    <cellStyle name="40% - Accent6 2 3 9 2 2" xfId="29053"/>
    <cellStyle name="40% - Accent6 2 3 9 3" xfId="24153"/>
    <cellStyle name="40% - Accent6 2 4" xfId="4902"/>
    <cellStyle name="40% - Accent6 2 4 10" xfId="9528"/>
    <cellStyle name="40% - Accent6 2 4 10 2" xfId="24003"/>
    <cellStyle name="40% - Accent6 2 4 11" xfId="22707"/>
    <cellStyle name="40% - Accent6 2 4 2" xfId="4903"/>
    <cellStyle name="40% - Accent6 2 4 2 2" xfId="4904"/>
    <cellStyle name="40% - Accent6 2 4 2 2 2" xfId="11256"/>
    <cellStyle name="40% - Accent6 2 4 2 2 2 2" xfId="25198"/>
    <cellStyle name="40% - Accent6 2 4 2 2 3" xfId="22706"/>
    <cellStyle name="40% - Accent6 2 4 2 3" xfId="4905"/>
    <cellStyle name="40% - Accent6 2 4 2 3 2" xfId="13043"/>
    <cellStyle name="40% - Accent6 2 4 2 3 2 2" xfId="26755"/>
    <cellStyle name="40% - Accent6 2 4 2 3 3" xfId="24441"/>
    <cellStyle name="40% - Accent6 2 4 2 4" xfId="4906"/>
    <cellStyle name="40% - Accent6 2 4 2 4 2" xfId="15511"/>
    <cellStyle name="40% - Accent6 2 4 2 4 2 2" xfId="29060"/>
    <cellStyle name="40% - Accent6 2 4 2 4 3" xfId="29137"/>
    <cellStyle name="40% - Accent6 2 4 2 5" xfId="4907"/>
    <cellStyle name="40% - Accent6 2 4 2 5 2" xfId="16783"/>
    <cellStyle name="40% - Accent6 2 4 2 5 2 2" xfId="30190"/>
    <cellStyle name="40% - Accent6 2 4 2 5 3" xfId="22705"/>
    <cellStyle name="40% - Accent6 2 4 2 6" xfId="9529"/>
    <cellStyle name="40% - Accent6 2 4 2 6 2" xfId="24004"/>
    <cellStyle name="40% - Accent6 2 4 2 7" xfId="25251"/>
    <cellStyle name="40% - Accent6 2 4 3" xfId="4908"/>
    <cellStyle name="40% - Accent6 2 4 3 2" xfId="4909"/>
    <cellStyle name="40% - Accent6 2 4 3 2 2" xfId="15512"/>
    <cellStyle name="40% - Accent6 2 4 3 2 2 2" xfId="29061"/>
    <cellStyle name="40% - Accent6 2 4 3 2 3" xfId="24155"/>
    <cellStyle name="40% - Accent6 2 4 3 3" xfId="11255"/>
    <cellStyle name="40% - Accent6 2 4 3 3 2" xfId="25197"/>
    <cellStyle name="40% - Accent6 2 4 3 4" xfId="22704"/>
    <cellStyle name="40% - Accent6 2 4 4" xfId="4910"/>
    <cellStyle name="40% - Accent6 2 4 4 2" xfId="12171"/>
    <cellStyle name="40% - Accent6 2 4 4 2 2" xfId="25883"/>
    <cellStyle name="40% - Accent6 2 4 4 3" xfId="22703"/>
    <cellStyle name="40% - Accent6 2 4 5" xfId="4911"/>
    <cellStyle name="40% - Accent6 2 4 5 2" xfId="13042"/>
    <cellStyle name="40% - Accent6 2 4 5 2 2" xfId="26754"/>
    <cellStyle name="40% - Accent6 2 4 5 3" xfId="24154"/>
    <cellStyle name="40% - Accent6 2 4 6" xfId="4912"/>
    <cellStyle name="40% - Accent6 2 4 6 2" xfId="13735"/>
    <cellStyle name="40% - Accent6 2 4 6 2 2" xfId="27284"/>
    <cellStyle name="40% - Accent6 2 4 6 3" xfId="22702"/>
    <cellStyle name="40% - Accent6 2 4 7" xfId="4913"/>
    <cellStyle name="40% - Accent6 2 4 7 2" xfId="14316"/>
    <cellStyle name="40% - Accent6 2 4 7 2 2" xfId="27865"/>
    <cellStyle name="40% - Accent6 2 4 7 3" xfId="23252"/>
    <cellStyle name="40% - Accent6 2 4 8" xfId="4914"/>
    <cellStyle name="40% - Accent6 2 4 8 2" xfId="15510"/>
    <cellStyle name="40% - Accent6 2 4 8 2 2" xfId="29059"/>
    <cellStyle name="40% - Accent6 2 4 8 3" xfId="24152"/>
    <cellStyle name="40% - Accent6 2 4 9" xfId="4915"/>
    <cellStyle name="40% - Accent6 2 4 9 2" xfId="16202"/>
    <cellStyle name="40% - Accent6 2 4 9 2 2" xfId="29609"/>
    <cellStyle name="40% - Accent6 2 4 9 3" xfId="22701"/>
    <cellStyle name="40% - Accent6 2 5" xfId="4916"/>
    <cellStyle name="40% - Accent6 2 5 2" xfId="4917"/>
    <cellStyle name="40% - Accent6 2 5 2 2" xfId="4918"/>
    <cellStyle name="40% - Accent6 2 5 2 2 2" xfId="11258"/>
    <cellStyle name="40% - Accent6 2 5 2 2 2 2" xfId="25200"/>
    <cellStyle name="40% - Accent6 2 5 2 2 3" xfId="24150"/>
    <cellStyle name="40% - Accent6 2 5 2 3" xfId="4919"/>
    <cellStyle name="40% - Accent6 2 5 2 3 2" xfId="13045"/>
    <cellStyle name="40% - Accent6 2 5 2 3 2 2" xfId="26757"/>
    <cellStyle name="40% - Accent6 2 5 2 3 3" xfId="22699"/>
    <cellStyle name="40% - Accent6 2 5 2 4" xfId="4920"/>
    <cellStyle name="40% - Accent6 2 5 2 4 2" xfId="15514"/>
    <cellStyle name="40% - Accent6 2 5 2 4 2 2" xfId="29063"/>
    <cellStyle name="40% - Accent6 2 5 2 4 3" xfId="24149"/>
    <cellStyle name="40% - Accent6 2 5 2 5" xfId="9531"/>
    <cellStyle name="40% - Accent6 2 5 2 5 2" xfId="24006"/>
    <cellStyle name="40% - Accent6 2 5 2 6" xfId="22700"/>
    <cellStyle name="40% - Accent6 2 5 3" xfId="4921"/>
    <cellStyle name="40% - Accent6 2 5 3 2" xfId="11257"/>
    <cellStyle name="40% - Accent6 2 5 3 2 2" xfId="25199"/>
    <cellStyle name="40% - Accent6 2 5 3 3" xfId="22698"/>
    <cellStyle name="40% - Accent6 2 5 4" xfId="4922"/>
    <cellStyle name="40% - Accent6 2 5 4 2" xfId="13044"/>
    <cellStyle name="40% - Accent6 2 5 4 2 2" xfId="26756"/>
    <cellStyle name="40% - Accent6 2 5 4 3" xfId="24147"/>
    <cellStyle name="40% - Accent6 2 5 5" xfId="4923"/>
    <cellStyle name="40% - Accent6 2 5 5 2" xfId="15513"/>
    <cellStyle name="40% - Accent6 2 5 5 2 2" xfId="29062"/>
    <cellStyle name="40% - Accent6 2 5 5 3" xfId="24148"/>
    <cellStyle name="40% - Accent6 2 5 6" xfId="4924"/>
    <cellStyle name="40% - Accent6 2 5 6 2" xfId="17018"/>
    <cellStyle name="40% - Accent6 2 5 6 2 2" xfId="30425"/>
    <cellStyle name="40% - Accent6 2 5 6 3" xfId="22697"/>
    <cellStyle name="40% - Accent6 2 5 7" xfId="9530"/>
    <cellStyle name="40% - Accent6 2 5 7 2" xfId="24005"/>
    <cellStyle name="40% - Accent6 2 5 8" xfId="24151"/>
    <cellStyle name="40% - Accent6 2 6" xfId="4925"/>
    <cellStyle name="40% - Accent6 2 6 2" xfId="4926"/>
    <cellStyle name="40% - Accent6 2 6 2 2" xfId="11259"/>
    <cellStyle name="40% - Accent6 2 6 2 2 2" xfId="25201"/>
    <cellStyle name="40% - Accent6 2 6 2 3" xfId="24146"/>
    <cellStyle name="40% - Accent6 2 6 3" xfId="4927"/>
    <cellStyle name="40% - Accent6 2 6 3 2" xfId="13046"/>
    <cellStyle name="40% - Accent6 2 6 3 2 2" xfId="26758"/>
    <cellStyle name="40% - Accent6 2 6 3 3" xfId="26818"/>
    <cellStyle name="40% - Accent6 2 6 4" xfId="4928"/>
    <cellStyle name="40% - Accent6 2 6 4 2" xfId="15515"/>
    <cellStyle name="40% - Accent6 2 6 4 2 2" xfId="29064"/>
    <cellStyle name="40% - Accent6 2 6 4 3" xfId="22695"/>
    <cellStyle name="40% - Accent6 2 6 5" xfId="4929"/>
    <cellStyle name="40% - Accent6 2 6 5 2" xfId="17130"/>
    <cellStyle name="40% - Accent6 2 6 5 2 2" xfId="30489"/>
    <cellStyle name="40% - Accent6 2 6 5 3" xfId="26819"/>
    <cellStyle name="40% - Accent6 2 6 6" xfId="9532"/>
    <cellStyle name="40% - Accent6 2 6 6 2" xfId="24007"/>
    <cellStyle name="40% - Accent6 2 6 7" xfId="22696"/>
    <cellStyle name="40% - Accent6 2 7" xfId="4930"/>
    <cellStyle name="40% - Accent6 2 7 2" xfId="4931"/>
    <cellStyle name="40% - Accent6 2 7 2 2" xfId="11260"/>
    <cellStyle name="40% - Accent6 2 7 2 2 2" xfId="25202"/>
    <cellStyle name="40% - Accent6 2 7 2 3" xfId="22693"/>
    <cellStyle name="40% - Accent6 2 7 3" xfId="4932"/>
    <cellStyle name="40% - Accent6 2 7 3 2" xfId="13047"/>
    <cellStyle name="40% - Accent6 2 7 3 2 2" xfId="26759"/>
    <cellStyle name="40% - Accent6 2 7 3 3" xfId="24144"/>
    <cellStyle name="40% - Accent6 2 7 4" xfId="4933"/>
    <cellStyle name="40% - Accent6 2 7 4 2" xfId="15516"/>
    <cellStyle name="40% - Accent6 2 7 4 2 2" xfId="29065"/>
    <cellStyle name="40% - Accent6 2 7 4 3" xfId="24145"/>
    <cellStyle name="40% - Accent6 2 7 5" xfId="4934"/>
    <cellStyle name="40% - Accent6 2 7 5 2" xfId="17219"/>
    <cellStyle name="40% - Accent6 2 7 5 2 2" xfId="30578"/>
    <cellStyle name="40% - Accent6 2 7 5 3" xfId="22692"/>
    <cellStyle name="40% - Accent6 2 7 6" xfId="9533"/>
    <cellStyle name="40% - Accent6 2 7 6 2" xfId="24008"/>
    <cellStyle name="40% - Accent6 2 7 7" xfId="22694"/>
    <cellStyle name="40% - Accent6 2 8" xfId="4935"/>
    <cellStyle name="40% - Accent6 2 8 2" xfId="4936"/>
    <cellStyle name="40% - Accent6 2 8 2 2" xfId="13048"/>
    <cellStyle name="40% - Accent6 2 8 2 2 2" xfId="26760"/>
    <cellStyle name="40% - Accent6 2 8 2 3" xfId="24143"/>
    <cellStyle name="40% - Accent6 2 8 3" xfId="4937"/>
    <cellStyle name="40% - Accent6 2 8 3 2" xfId="15517"/>
    <cellStyle name="40% - Accent6 2 8 3 2 2" xfId="29066"/>
    <cellStyle name="40% - Accent6 2 8 3 3" xfId="22690"/>
    <cellStyle name="40% - Accent6 2 8 4" xfId="4938"/>
    <cellStyle name="40% - Accent6 2 8 4 2" xfId="16494"/>
    <cellStyle name="40% - Accent6 2 8 4 2 2" xfId="29901"/>
    <cellStyle name="40% - Accent6 2 8 4 3" xfId="24140"/>
    <cellStyle name="40% - Accent6 2 8 5" xfId="10539"/>
    <cellStyle name="40% - Accent6 2 8 5 2" xfId="24481"/>
    <cellStyle name="40% - Accent6 2 8 6" xfId="22691"/>
    <cellStyle name="40% - Accent6 2 9" xfId="4939"/>
    <cellStyle name="40% - Accent6 2 9 2" xfId="4940"/>
    <cellStyle name="40% - Accent6 2 9 2 2" xfId="13049"/>
    <cellStyle name="40% - Accent6 2 9 2 2 2" xfId="26761"/>
    <cellStyle name="40% - Accent6 2 9 2 3" xfId="25250"/>
    <cellStyle name="40% - Accent6 2 9 3" xfId="4941"/>
    <cellStyle name="40% - Accent6 2 9 3 2" xfId="15518"/>
    <cellStyle name="40% - Accent6 2 9 3 2 2" xfId="29067"/>
    <cellStyle name="40% - Accent6 2 9 3 3" xfId="22688"/>
    <cellStyle name="40% - Accent6 2 9 4" xfId="11242"/>
    <cellStyle name="40% - Accent6 2 9 4 2" xfId="25184"/>
    <cellStyle name="40% - Accent6 2 9 5" xfId="22689"/>
    <cellStyle name="40% - Accent6 20" xfId="4942"/>
    <cellStyle name="40% - Accent6 20 2" xfId="4943"/>
    <cellStyle name="40% - Accent6 20 2 2" xfId="13050"/>
    <cellStyle name="40% - Accent6 20 2 2 2" xfId="26762"/>
    <cellStyle name="40% - Accent6 20 2 3" xfId="29136"/>
    <cellStyle name="40% - Accent6 20 3" xfId="4944"/>
    <cellStyle name="40% - Accent6 20 3 2" xfId="15519"/>
    <cellStyle name="40% - Accent6 20 3 2 2" xfId="29068"/>
    <cellStyle name="40% - Accent6 20 3 3" xfId="22687"/>
    <cellStyle name="40% - Accent6 20 4" xfId="10514"/>
    <cellStyle name="40% - Accent6 20 4 2" xfId="24462"/>
    <cellStyle name="40% - Accent6 20 5" xfId="24440"/>
    <cellStyle name="40% - Accent6 21" xfId="4945"/>
    <cellStyle name="40% - Accent6 21 2" xfId="4946"/>
    <cellStyle name="40% - Accent6 21 2 2" xfId="13051"/>
    <cellStyle name="40% - Accent6 21 2 2 2" xfId="26763"/>
    <cellStyle name="40% - Accent6 21 2 3" xfId="24142"/>
    <cellStyle name="40% - Accent6 21 3" xfId="4947"/>
    <cellStyle name="40% - Accent6 21 3 2" xfId="15520"/>
    <cellStyle name="40% - Accent6 21 3 2 2" xfId="29069"/>
    <cellStyle name="40% - Accent6 21 3 3" xfId="22685"/>
    <cellStyle name="40% - Accent6 21 4" xfId="11231"/>
    <cellStyle name="40% - Accent6 21 4 2" xfId="25173"/>
    <cellStyle name="40% - Accent6 21 5" xfId="22686"/>
    <cellStyle name="40% - Accent6 22" xfId="4948"/>
    <cellStyle name="40% - Accent6 22 2" xfId="11750"/>
    <cellStyle name="40% - Accent6 22 2 2" xfId="25465"/>
    <cellStyle name="40% - Accent6 22 3" xfId="24141"/>
    <cellStyle name="40% - Accent6 23" xfId="4949"/>
    <cellStyle name="40% - Accent6 23 2" xfId="13016"/>
    <cellStyle name="40% - Accent6 23 2 2" xfId="26728"/>
    <cellStyle name="40% - Accent6 23 3" xfId="22684"/>
    <cellStyle name="40% - Accent6 24" xfId="4950"/>
    <cellStyle name="40% - Accent6 24 2" xfId="13389"/>
    <cellStyle name="40% - Accent6 24 2 2" xfId="26938"/>
    <cellStyle name="40% - Accent6 24 3" xfId="23249"/>
    <cellStyle name="40% - Accent6 25" xfId="4951"/>
    <cellStyle name="40% - Accent6 25 2" xfId="13970"/>
    <cellStyle name="40% - Accent6 25 2 2" xfId="27519"/>
    <cellStyle name="40% - Accent6 25 3" xfId="24139"/>
    <cellStyle name="40% - Accent6 26" xfId="4952"/>
    <cellStyle name="40% - Accent6 26 2" xfId="15477"/>
    <cellStyle name="40% - Accent6 26 2 2" xfId="29026"/>
    <cellStyle name="40% - Accent6 26 3" xfId="22683"/>
    <cellStyle name="40% - Accent6 27" xfId="4953"/>
    <cellStyle name="40% - Accent6 27 2" xfId="15830"/>
    <cellStyle name="40% - Accent6 27 2 2" xfId="29237"/>
    <cellStyle name="40% - Accent6 27 3" xfId="24138"/>
    <cellStyle name="40% - Accent6 28" xfId="4954"/>
    <cellStyle name="40% - Accent6 28 2" xfId="15856"/>
    <cellStyle name="40% - Accent6 28 2 2" xfId="29263"/>
    <cellStyle name="40% - Accent6 28 3" xfId="22682"/>
    <cellStyle name="40% - Accent6 29" xfId="4955"/>
    <cellStyle name="40% - Accent6 29 2" xfId="9504"/>
    <cellStyle name="40% - Accent6 29 2 2" xfId="23979"/>
    <cellStyle name="40% - Accent6 29 3" xfId="24137"/>
    <cellStyle name="40% - Accent6 3" xfId="4956"/>
    <cellStyle name="40% - Accent6 3 10" xfId="4957"/>
    <cellStyle name="40% - Accent6 3 10 2" xfId="14050"/>
    <cellStyle name="40% - Accent6 3 10 2 2" xfId="27599"/>
    <cellStyle name="40% - Accent6 3 10 3" xfId="24136"/>
    <cellStyle name="40% - Accent6 3 11" xfId="4958"/>
    <cellStyle name="40% - Accent6 3 11 2" xfId="15521"/>
    <cellStyle name="40% - Accent6 3 11 2 2" xfId="29070"/>
    <cellStyle name="40% - Accent6 3 11 3" xfId="22680"/>
    <cellStyle name="40% - Accent6 3 12" xfId="4959"/>
    <cellStyle name="40% - Accent6 3 12 2" xfId="15936"/>
    <cellStyle name="40% - Accent6 3 12 2 2" xfId="29343"/>
    <cellStyle name="40% - Accent6 3 12 3" xfId="24134"/>
    <cellStyle name="40% - Accent6 3 13" xfId="9534"/>
    <cellStyle name="40% - Accent6 3 13 2" xfId="24009"/>
    <cellStyle name="40% - Accent6 3 14" xfId="22681"/>
    <cellStyle name="40% - Accent6 3 2" xfId="4960"/>
    <cellStyle name="40% - Accent6 3 2 10" xfId="4961"/>
    <cellStyle name="40% - Accent6 3 2 10 2" xfId="16079"/>
    <cellStyle name="40% - Accent6 3 2 10 2 2" xfId="29486"/>
    <cellStyle name="40% - Accent6 3 2 10 3" xfId="22679"/>
    <cellStyle name="40% - Accent6 3 2 11" xfId="9535"/>
    <cellStyle name="40% - Accent6 3 2 11 2" xfId="24010"/>
    <cellStyle name="40% - Accent6 3 2 12" xfId="24135"/>
    <cellStyle name="40% - Accent6 3 2 2" xfId="4962"/>
    <cellStyle name="40% - Accent6 3 2 2 10" xfId="9536"/>
    <cellStyle name="40% - Accent6 3 2 2 10 2" xfId="24011"/>
    <cellStyle name="40% - Accent6 3 2 2 11" xfId="22678"/>
    <cellStyle name="40% - Accent6 3 2 2 2" xfId="4963"/>
    <cellStyle name="40% - Accent6 3 2 2 2 2" xfId="4964"/>
    <cellStyle name="40% - Accent6 3 2 2 2 2 2" xfId="11264"/>
    <cellStyle name="40% - Accent6 3 2 2 2 2 2 2" xfId="25206"/>
    <cellStyle name="40% - Accent6 3 2 2 2 2 3" xfId="26816"/>
    <cellStyle name="40% - Accent6 3 2 2 2 3" xfId="4965"/>
    <cellStyle name="40% - Accent6 3 2 2 2 3 2" xfId="13055"/>
    <cellStyle name="40% - Accent6 3 2 2 2 3 2 2" xfId="26767"/>
    <cellStyle name="40% - Accent6 3 2 2 2 3 3" xfId="22677"/>
    <cellStyle name="40% - Accent6 3 2 2 2 4" xfId="4966"/>
    <cellStyle name="40% - Accent6 3 2 2 2 4 2" xfId="15524"/>
    <cellStyle name="40% - Accent6 3 2 2 2 4 2 2" xfId="29073"/>
    <cellStyle name="40% - Accent6 3 2 2 2 4 3" xfId="26817"/>
    <cellStyle name="40% - Accent6 3 2 2 2 5" xfId="4967"/>
    <cellStyle name="40% - Accent6 3 2 2 2 5 2" xfId="16949"/>
    <cellStyle name="40% - Accent6 3 2 2 2 5 2 2" xfId="30356"/>
    <cellStyle name="40% - Accent6 3 2 2 2 5 3" xfId="22676"/>
    <cellStyle name="40% - Accent6 3 2 2 2 6" xfId="9537"/>
    <cellStyle name="40% - Accent6 3 2 2 2 6 2" xfId="24012"/>
    <cellStyle name="40% - Accent6 3 2 2 2 7" xfId="24133"/>
    <cellStyle name="40% - Accent6 3 2 2 3" xfId="4968"/>
    <cellStyle name="40% - Accent6 3 2 2 3 2" xfId="4969"/>
    <cellStyle name="40% - Accent6 3 2 2 3 2 2" xfId="15525"/>
    <cellStyle name="40% - Accent6 3 2 2 3 2 2 2" xfId="29074"/>
    <cellStyle name="40% - Accent6 3 2 2 3 2 3" xfId="24131"/>
    <cellStyle name="40% - Accent6 3 2 2 3 3" xfId="11263"/>
    <cellStyle name="40% - Accent6 3 2 2 3 3 2" xfId="25205"/>
    <cellStyle name="40% - Accent6 3 2 2 3 4" xfId="22675"/>
    <cellStyle name="40% - Accent6 3 2 2 4" xfId="4970"/>
    <cellStyle name="40% - Accent6 3 2 2 4 2" xfId="12337"/>
    <cellStyle name="40% - Accent6 3 2 2 4 2 2" xfId="26049"/>
    <cellStyle name="40% - Accent6 3 2 2 4 3" xfId="24132"/>
    <cellStyle name="40% - Accent6 3 2 2 5" xfId="4971"/>
    <cellStyle name="40% - Accent6 3 2 2 5 2" xfId="13054"/>
    <cellStyle name="40% - Accent6 3 2 2 5 2 2" xfId="26766"/>
    <cellStyle name="40% - Accent6 3 2 2 5 3" xfId="22674"/>
    <cellStyle name="40% - Accent6 3 2 2 6" xfId="4972"/>
    <cellStyle name="40% - Accent6 3 2 2 6 2" xfId="13901"/>
    <cellStyle name="40% - Accent6 3 2 2 6 2 2" xfId="27450"/>
    <cellStyle name="40% - Accent6 3 2 2 6 3" xfId="22673"/>
    <cellStyle name="40% - Accent6 3 2 2 7" xfId="4973"/>
    <cellStyle name="40% - Accent6 3 2 2 7 2" xfId="14482"/>
    <cellStyle name="40% - Accent6 3 2 2 7 2 2" xfId="28031"/>
    <cellStyle name="40% - Accent6 3 2 2 7 3" xfId="24130"/>
    <cellStyle name="40% - Accent6 3 2 2 8" xfId="4974"/>
    <cellStyle name="40% - Accent6 3 2 2 8 2" xfId="15523"/>
    <cellStyle name="40% - Accent6 3 2 2 8 2 2" xfId="29072"/>
    <cellStyle name="40% - Accent6 3 2 2 8 3" xfId="22672"/>
    <cellStyle name="40% - Accent6 3 2 2 9" xfId="4975"/>
    <cellStyle name="40% - Accent6 3 2 2 9 2" xfId="16368"/>
    <cellStyle name="40% - Accent6 3 2 2 9 2 2" xfId="29775"/>
    <cellStyle name="40% - Accent6 3 2 2 9 3" xfId="24127"/>
    <cellStyle name="40% - Accent6 3 2 3" xfId="4976"/>
    <cellStyle name="40% - Accent6 3 2 3 2" xfId="4977"/>
    <cellStyle name="40% - Accent6 3 2 3 2 2" xfId="11265"/>
    <cellStyle name="40% - Accent6 3 2 3 2 2 2" xfId="25207"/>
    <cellStyle name="40% - Accent6 3 2 3 2 3" xfId="25249"/>
    <cellStyle name="40% - Accent6 3 2 3 3" xfId="4978"/>
    <cellStyle name="40% - Accent6 3 2 3 3 2" xfId="13056"/>
    <cellStyle name="40% - Accent6 3 2 3 3 2 2" xfId="26768"/>
    <cellStyle name="40% - Accent6 3 2 3 3 3" xfId="22670"/>
    <cellStyle name="40% - Accent6 3 2 3 4" xfId="4979"/>
    <cellStyle name="40% - Accent6 3 2 3 4 2" xfId="15526"/>
    <cellStyle name="40% - Accent6 3 2 3 4 2 2" xfId="29075"/>
    <cellStyle name="40% - Accent6 3 2 3 4 3" xfId="24439"/>
    <cellStyle name="40% - Accent6 3 2 3 5" xfId="4980"/>
    <cellStyle name="40% - Accent6 3 2 3 5 2" xfId="16660"/>
    <cellStyle name="40% - Accent6 3 2 3 5 2 2" xfId="30067"/>
    <cellStyle name="40% - Accent6 3 2 3 5 3" xfId="29135"/>
    <cellStyle name="40% - Accent6 3 2 3 6" xfId="9538"/>
    <cellStyle name="40% - Accent6 3 2 3 6 2" xfId="24013"/>
    <cellStyle name="40% - Accent6 3 2 3 7" xfId="22671"/>
    <cellStyle name="40% - Accent6 3 2 4" xfId="4981"/>
    <cellStyle name="40% - Accent6 3 2 4 2" xfId="4982"/>
    <cellStyle name="40% - Accent6 3 2 4 2 2" xfId="15527"/>
    <cellStyle name="40% - Accent6 3 2 4 2 2 2" xfId="29076"/>
    <cellStyle name="40% - Accent6 3 2 4 2 3" xfId="22668"/>
    <cellStyle name="40% - Accent6 3 2 4 3" xfId="11262"/>
    <cellStyle name="40% - Accent6 3 2 4 3 2" xfId="25204"/>
    <cellStyle name="40% - Accent6 3 2 4 4" xfId="22669"/>
    <cellStyle name="40% - Accent6 3 2 5" xfId="4983"/>
    <cellStyle name="40% - Accent6 3 2 5 2" xfId="12037"/>
    <cellStyle name="40% - Accent6 3 2 5 2 2" xfId="25752"/>
    <cellStyle name="40% - Accent6 3 2 5 3" xfId="24129"/>
    <cellStyle name="40% - Accent6 3 2 6" xfId="4984"/>
    <cellStyle name="40% - Accent6 3 2 6 2" xfId="13053"/>
    <cellStyle name="40% - Accent6 3 2 6 2 2" xfId="26765"/>
    <cellStyle name="40% - Accent6 3 2 6 3" xfId="22667"/>
    <cellStyle name="40% - Accent6 3 2 7" xfId="4985"/>
    <cellStyle name="40% - Accent6 3 2 7 2" xfId="13612"/>
    <cellStyle name="40% - Accent6 3 2 7 2 2" xfId="27161"/>
    <cellStyle name="40% - Accent6 3 2 7 3" xfId="24128"/>
    <cellStyle name="40% - Accent6 3 2 8" xfId="4986"/>
    <cellStyle name="40% - Accent6 3 2 8 2" xfId="14193"/>
    <cellStyle name="40% - Accent6 3 2 8 2 2" xfId="27742"/>
    <cellStyle name="40% - Accent6 3 2 8 3" xfId="22666"/>
    <cellStyle name="40% - Accent6 3 2 9" xfId="4987"/>
    <cellStyle name="40% - Accent6 3 2 9 2" xfId="15522"/>
    <cellStyle name="40% - Accent6 3 2 9 2 2" xfId="29071"/>
    <cellStyle name="40% - Accent6 3 2 9 3" xfId="23245"/>
    <cellStyle name="40% - Accent6 3 3" xfId="4988"/>
    <cellStyle name="40% - Accent6 3 3 10" xfId="9539"/>
    <cellStyle name="40% - Accent6 3 3 10 2" xfId="24014"/>
    <cellStyle name="40% - Accent6 3 3 11" xfId="24126"/>
    <cellStyle name="40% - Accent6 3 3 2" xfId="4989"/>
    <cellStyle name="40% - Accent6 3 3 2 2" xfId="4990"/>
    <cellStyle name="40% - Accent6 3 3 2 2 2" xfId="11267"/>
    <cellStyle name="40% - Accent6 3 3 2 2 2 2" xfId="25209"/>
    <cellStyle name="40% - Accent6 3 3 2 2 3" xfId="24125"/>
    <cellStyle name="40% - Accent6 3 3 2 3" xfId="4991"/>
    <cellStyle name="40% - Accent6 3 3 2 3 2" xfId="13058"/>
    <cellStyle name="40% - Accent6 3 3 2 3 2 2" xfId="26770"/>
    <cellStyle name="40% - Accent6 3 3 2 3 3" xfId="22664"/>
    <cellStyle name="40% - Accent6 3 3 2 4" xfId="4992"/>
    <cellStyle name="40% - Accent6 3 3 2 4 2" xfId="15529"/>
    <cellStyle name="40% - Accent6 3 3 2 4 2 2" xfId="29078"/>
    <cellStyle name="40% - Accent6 3 3 2 4 3" xfId="24124"/>
    <cellStyle name="40% - Accent6 3 3 2 5" xfId="4993"/>
    <cellStyle name="40% - Accent6 3 3 2 5 2" xfId="16806"/>
    <cellStyle name="40% - Accent6 3 3 2 5 2 2" xfId="30213"/>
    <cellStyle name="40% - Accent6 3 3 2 5 3" xfId="22663"/>
    <cellStyle name="40% - Accent6 3 3 2 6" xfId="9540"/>
    <cellStyle name="40% - Accent6 3 3 2 6 2" xfId="24015"/>
    <cellStyle name="40% - Accent6 3 3 2 7" xfId="22665"/>
    <cellStyle name="40% - Accent6 3 3 3" xfId="4994"/>
    <cellStyle name="40% - Accent6 3 3 3 2" xfId="4995"/>
    <cellStyle name="40% - Accent6 3 3 3 2 2" xfId="15530"/>
    <cellStyle name="40% - Accent6 3 3 3 2 2 2" xfId="29079"/>
    <cellStyle name="40% - Accent6 3 3 3 2 3" xfId="22662"/>
    <cellStyle name="40% - Accent6 3 3 3 3" xfId="11266"/>
    <cellStyle name="40% - Accent6 3 3 3 3 2" xfId="25208"/>
    <cellStyle name="40% - Accent6 3 3 3 4" xfId="24123"/>
    <cellStyle name="40% - Accent6 3 3 4" xfId="4996"/>
    <cellStyle name="40% - Accent6 3 3 4 2" xfId="12194"/>
    <cellStyle name="40% - Accent6 3 3 4 2 2" xfId="25906"/>
    <cellStyle name="40% - Accent6 3 3 4 3" xfId="24121"/>
    <cellStyle name="40% - Accent6 3 3 5" xfId="4997"/>
    <cellStyle name="40% - Accent6 3 3 5 2" xfId="13057"/>
    <cellStyle name="40% - Accent6 3 3 5 2 2" xfId="26769"/>
    <cellStyle name="40% - Accent6 3 3 5 3" xfId="24122"/>
    <cellStyle name="40% - Accent6 3 3 6" xfId="4998"/>
    <cellStyle name="40% - Accent6 3 3 6 2" xfId="13758"/>
    <cellStyle name="40% - Accent6 3 3 6 2 2" xfId="27307"/>
    <cellStyle name="40% - Accent6 3 3 6 3" xfId="22661"/>
    <cellStyle name="40% - Accent6 3 3 7" xfId="4999"/>
    <cellStyle name="40% - Accent6 3 3 7 2" xfId="14339"/>
    <cellStyle name="40% - Accent6 3 3 7 2 2" xfId="27888"/>
    <cellStyle name="40% - Accent6 3 3 7 3" xfId="22660"/>
    <cellStyle name="40% - Accent6 3 3 8" xfId="5000"/>
    <cellStyle name="40% - Accent6 3 3 8 2" xfId="15528"/>
    <cellStyle name="40% - Accent6 3 3 8 2 2" xfId="29077"/>
    <cellStyle name="40% - Accent6 3 3 8 3" xfId="24120"/>
    <cellStyle name="40% - Accent6 3 3 9" xfId="5001"/>
    <cellStyle name="40% - Accent6 3 3 9 2" xfId="16225"/>
    <cellStyle name="40% - Accent6 3 3 9 2 2" xfId="29632"/>
    <cellStyle name="40% - Accent6 3 3 9 3" xfId="26814"/>
    <cellStyle name="40% - Accent6 3 4" xfId="5002"/>
    <cellStyle name="40% - Accent6 3 4 2" xfId="5003"/>
    <cellStyle name="40% - Accent6 3 4 2 2" xfId="11268"/>
    <cellStyle name="40% - Accent6 3 4 2 2 2" xfId="25210"/>
    <cellStyle name="40% - Accent6 3 4 2 3" xfId="26815"/>
    <cellStyle name="40% - Accent6 3 4 3" xfId="5004"/>
    <cellStyle name="40% - Accent6 3 4 3 2" xfId="13059"/>
    <cellStyle name="40% - Accent6 3 4 3 2 2" xfId="26771"/>
    <cellStyle name="40% - Accent6 3 4 3 3" xfId="22658"/>
    <cellStyle name="40% - Accent6 3 4 4" xfId="5005"/>
    <cellStyle name="40% - Accent6 3 4 4 2" xfId="15531"/>
    <cellStyle name="40% - Accent6 3 4 4 2 2" xfId="29080"/>
    <cellStyle name="40% - Accent6 3 4 4 3" xfId="22657"/>
    <cellStyle name="40% - Accent6 3 4 5" xfId="5006"/>
    <cellStyle name="40% - Accent6 3 4 5 2" xfId="17153"/>
    <cellStyle name="40% - Accent6 3 4 5 2 2" xfId="30512"/>
    <cellStyle name="40% - Accent6 3 4 5 3" xfId="24118"/>
    <cellStyle name="40% - Accent6 3 4 6" xfId="9541"/>
    <cellStyle name="40% - Accent6 3 4 6 2" xfId="24016"/>
    <cellStyle name="40% - Accent6 3 4 7" xfId="22659"/>
    <cellStyle name="40% - Accent6 3 5" xfId="5007"/>
    <cellStyle name="40% - Accent6 3 5 2" xfId="5008"/>
    <cellStyle name="40% - Accent6 3 5 2 2" xfId="11269"/>
    <cellStyle name="40% - Accent6 3 5 2 2 2" xfId="25211"/>
    <cellStyle name="40% - Accent6 3 5 2 3" xfId="22656"/>
    <cellStyle name="40% - Accent6 3 5 3" xfId="5009"/>
    <cellStyle name="40% - Accent6 3 5 3 2" xfId="13060"/>
    <cellStyle name="40% - Accent6 3 5 3 2 2" xfId="26772"/>
    <cellStyle name="40% - Accent6 3 5 3 3" xfId="22655"/>
    <cellStyle name="40% - Accent6 3 5 4" xfId="5010"/>
    <cellStyle name="40% - Accent6 3 5 4 2" xfId="15532"/>
    <cellStyle name="40% - Accent6 3 5 4 2 2" xfId="29081"/>
    <cellStyle name="40% - Accent6 3 5 4 3" xfId="24117"/>
    <cellStyle name="40% - Accent6 3 5 5" xfId="5011"/>
    <cellStyle name="40% - Accent6 3 5 5 2" xfId="17242"/>
    <cellStyle name="40% - Accent6 3 5 5 2 2" xfId="30601"/>
    <cellStyle name="40% - Accent6 3 5 5 3" xfId="22654"/>
    <cellStyle name="40% - Accent6 3 5 6" xfId="9542"/>
    <cellStyle name="40% - Accent6 3 5 6 2" xfId="24017"/>
    <cellStyle name="40% - Accent6 3 5 7" xfId="24119"/>
    <cellStyle name="40% - Accent6 3 6" xfId="5012"/>
    <cellStyle name="40% - Accent6 3 6 2" xfId="5013"/>
    <cellStyle name="40% - Accent6 3 6 2 2" xfId="15533"/>
    <cellStyle name="40% - Accent6 3 6 2 2 2" xfId="29082"/>
    <cellStyle name="40% - Accent6 3 6 2 3" xfId="22653"/>
    <cellStyle name="40% - Accent6 3 6 3" xfId="5014"/>
    <cellStyle name="40% - Accent6 3 6 3 2" xfId="16517"/>
    <cellStyle name="40% - Accent6 3 6 3 2 2" xfId="29924"/>
    <cellStyle name="40% - Accent6 3 6 3 3" xfId="25248"/>
    <cellStyle name="40% - Accent6 3 6 4" xfId="11261"/>
    <cellStyle name="40% - Accent6 3 6 4 2" xfId="25203"/>
    <cellStyle name="40% - Accent6 3 6 5" xfId="24114"/>
    <cellStyle name="40% - Accent6 3 7" xfId="5015"/>
    <cellStyle name="40% - Accent6 3 7 2" xfId="11889"/>
    <cellStyle name="40% - Accent6 3 7 2 2" xfId="25604"/>
    <cellStyle name="40% - Accent6 3 7 3" xfId="22652"/>
    <cellStyle name="40% - Accent6 3 8" xfId="5016"/>
    <cellStyle name="40% - Accent6 3 8 2" xfId="13052"/>
    <cellStyle name="40% - Accent6 3 8 2 2" xfId="26764"/>
    <cellStyle name="40% - Accent6 3 8 3" xfId="24438"/>
    <cellStyle name="40% - Accent6 3 9" xfId="5017"/>
    <cellStyle name="40% - Accent6 3 9 2" xfId="13469"/>
    <cellStyle name="40% - Accent6 3 9 2 2" xfId="27018"/>
    <cellStyle name="40% - Accent6 3 9 3" xfId="29134"/>
    <cellStyle name="40% - Accent6 30" xfId="23264"/>
    <cellStyle name="40% - Accent6 4" xfId="5018"/>
    <cellStyle name="40% - Accent6 4 10" xfId="5019"/>
    <cellStyle name="40% - Accent6 4 10 2" xfId="15534"/>
    <cellStyle name="40% - Accent6 4 10 2 2" xfId="29083"/>
    <cellStyle name="40% - Accent6 4 10 3" xfId="22650"/>
    <cellStyle name="40% - Accent6 4 11" xfId="5020"/>
    <cellStyle name="40% - Accent6 4 11 2" xfId="15890"/>
    <cellStyle name="40% - Accent6 4 11 2 2" xfId="29297"/>
    <cellStyle name="40% - Accent6 4 11 3" xfId="24116"/>
    <cellStyle name="40% - Accent6 4 12" xfId="9543"/>
    <cellStyle name="40% - Accent6 4 12 2" xfId="24018"/>
    <cellStyle name="40% - Accent6 4 13" xfId="22651"/>
    <cellStyle name="40% - Accent6 4 2" xfId="5021"/>
    <cellStyle name="40% - Accent6 4 2 10" xfId="5022"/>
    <cellStyle name="40% - Accent6 4 2 10 2" xfId="16033"/>
    <cellStyle name="40% - Accent6 4 2 10 2 2" xfId="29440"/>
    <cellStyle name="40% - Accent6 4 2 10 3" xfId="24115"/>
    <cellStyle name="40% - Accent6 4 2 11" xfId="9544"/>
    <cellStyle name="40% - Accent6 4 2 11 2" xfId="24019"/>
    <cellStyle name="40% - Accent6 4 2 12" xfId="22649"/>
    <cellStyle name="40% - Accent6 4 2 2" xfId="5023"/>
    <cellStyle name="40% - Accent6 4 2 2 10" xfId="9545"/>
    <cellStyle name="40% - Accent6 4 2 2 10 2" xfId="24020"/>
    <cellStyle name="40% - Accent6 4 2 2 11" xfId="22648"/>
    <cellStyle name="40% - Accent6 4 2 2 2" xfId="5024"/>
    <cellStyle name="40% - Accent6 4 2 2 2 2" xfId="5025"/>
    <cellStyle name="40% - Accent6 4 2 2 2 2 2" xfId="11273"/>
    <cellStyle name="40% - Accent6 4 2 2 2 2 2 2" xfId="25215"/>
    <cellStyle name="40% - Accent6 4 2 2 2 2 3" xfId="24113"/>
    <cellStyle name="40% - Accent6 4 2 2 2 3" xfId="5026"/>
    <cellStyle name="40% - Accent6 4 2 2 2 3 2" xfId="13064"/>
    <cellStyle name="40% - Accent6 4 2 2 2 3 2 2" xfId="26776"/>
    <cellStyle name="40% - Accent6 4 2 2 2 3 3" xfId="22647"/>
    <cellStyle name="40% - Accent6 4 2 2 2 4" xfId="5027"/>
    <cellStyle name="40% - Accent6 4 2 2 2 4 2" xfId="15537"/>
    <cellStyle name="40% - Accent6 4 2 2 2 4 2 2" xfId="29086"/>
    <cellStyle name="40% - Accent6 4 2 2 2 4 3" xfId="24112"/>
    <cellStyle name="40% - Accent6 4 2 2 2 5" xfId="5028"/>
    <cellStyle name="40% - Accent6 4 2 2 2 5 2" xfId="16903"/>
    <cellStyle name="40% - Accent6 4 2 2 2 5 2 2" xfId="30310"/>
    <cellStyle name="40% - Accent6 4 2 2 2 5 3" xfId="22646"/>
    <cellStyle name="40% - Accent6 4 2 2 2 6" xfId="9546"/>
    <cellStyle name="40% - Accent6 4 2 2 2 6 2" xfId="24021"/>
    <cellStyle name="40% - Accent6 4 2 2 2 7" xfId="23265"/>
    <cellStyle name="40% - Accent6 4 2 2 3" xfId="5029"/>
    <cellStyle name="40% - Accent6 4 2 2 3 2" xfId="5030"/>
    <cellStyle name="40% - Accent6 4 2 2 3 2 2" xfId="15538"/>
    <cellStyle name="40% - Accent6 4 2 2 3 2 2 2" xfId="29087"/>
    <cellStyle name="40% - Accent6 4 2 2 3 2 3" xfId="22645"/>
    <cellStyle name="40% - Accent6 4 2 2 3 3" xfId="11272"/>
    <cellStyle name="40% - Accent6 4 2 2 3 3 2" xfId="25214"/>
    <cellStyle name="40% - Accent6 4 2 2 3 4" xfId="24111"/>
    <cellStyle name="40% - Accent6 4 2 2 4" xfId="5031"/>
    <cellStyle name="40% - Accent6 4 2 2 4 2" xfId="12291"/>
    <cellStyle name="40% - Accent6 4 2 2 4 2 2" xfId="26003"/>
    <cellStyle name="40% - Accent6 4 2 2 4 3" xfId="24110"/>
    <cellStyle name="40% - Accent6 4 2 2 5" xfId="5032"/>
    <cellStyle name="40% - Accent6 4 2 2 5 2" xfId="13063"/>
    <cellStyle name="40% - Accent6 4 2 2 5 2 2" xfId="26775"/>
    <cellStyle name="40% - Accent6 4 2 2 5 3" xfId="22644"/>
    <cellStyle name="40% - Accent6 4 2 2 6" xfId="5033"/>
    <cellStyle name="40% - Accent6 4 2 2 6 2" xfId="13855"/>
    <cellStyle name="40% - Accent6 4 2 2 6 2 2" xfId="27404"/>
    <cellStyle name="40% - Accent6 4 2 2 6 3" xfId="24108"/>
    <cellStyle name="40% - Accent6 4 2 2 7" xfId="5034"/>
    <cellStyle name="40% - Accent6 4 2 2 7 2" xfId="14436"/>
    <cellStyle name="40% - Accent6 4 2 2 7 2 2" xfId="27985"/>
    <cellStyle name="40% - Accent6 4 2 2 7 3" xfId="24109"/>
    <cellStyle name="40% - Accent6 4 2 2 8" xfId="5035"/>
    <cellStyle name="40% - Accent6 4 2 2 8 2" xfId="15536"/>
    <cellStyle name="40% - Accent6 4 2 2 8 2 2" xfId="29085"/>
    <cellStyle name="40% - Accent6 4 2 2 8 3" xfId="22643"/>
    <cellStyle name="40% - Accent6 4 2 2 9" xfId="5036"/>
    <cellStyle name="40% - Accent6 4 2 2 9 2" xfId="16322"/>
    <cellStyle name="40% - Accent6 4 2 2 9 2 2" xfId="29729"/>
    <cellStyle name="40% - Accent6 4 2 2 9 3" xfId="22642"/>
    <cellStyle name="40% - Accent6 4 2 3" xfId="5037"/>
    <cellStyle name="40% - Accent6 4 2 3 2" xfId="5038"/>
    <cellStyle name="40% - Accent6 4 2 3 2 2" xfId="11274"/>
    <cellStyle name="40% - Accent6 4 2 3 2 2 2" xfId="25216"/>
    <cellStyle name="40% - Accent6 4 2 3 2 3" xfId="26812"/>
    <cellStyle name="40% - Accent6 4 2 3 3" xfId="5039"/>
    <cellStyle name="40% - Accent6 4 2 3 3 2" xfId="13065"/>
    <cellStyle name="40% - Accent6 4 2 3 3 2 2" xfId="26777"/>
    <cellStyle name="40% - Accent6 4 2 3 3 3" xfId="22641"/>
    <cellStyle name="40% - Accent6 4 2 3 4" xfId="5040"/>
    <cellStyle name="40% - Accent6 4 2 3 4 2" xfId="15539"/>
    <cellStyle name="40% - Accent6 4 2 3 4 2 2" xfId="29088"/>
    <cellStyle name="40% - Accent6 4 2 3 4 3" xfId="26813"/>
    <cellStyle name="40% - Accent6 4 2 3 5" xfId="5041"/>
    <cellStyle name="40% - Accent6 4 2 3 5 2" xfId="16614"/>
    <cellStyle name="40% - Accent6 4 2 3 5 2 2" xfId="30021"/>
    <cellStyle name="40% - Accent6 4 2 3 5 3" xfId="22640"/>
    <cellStyle name="40% - Accent6 4 2 3 6" xfId="9547"/>
    <cellStyle name="40% - Accent6 4 2 3 6 2" xfId="24022"/>
    <cellStyle name="40% - Accent6 4 2 3 7" xfId="24107"/>
    <cellStyle name="40% - Accent6 4 2 4" xfId="5042"/>
    <cellStyle name="40% - Accent6 4 2 4 2" xfId="5043"/>
    <cellStyle name="40% - Accent6 4 2 4 2 2" xfId="15540"/>
    <cellStyle name="40% - Accent6 4 2 4 2 2 2" xfId="29089"/>
    <cellStyle name="40% - Accent6 4 2 4 2 3" xfId="24105"/>
    <cellStyle name="40% - Accent6 4 2 4 3" xfId="11271"/>
    <cellStyle name="40% - Accent6 4 2 4 3 2" xfId="25213"/>
    <cellStyle name="40% - Accent6 4 2 4 4" xfId="22639"/>
    <cellStyle name="40% - Accent6 4 2 5" xfId="5044"/>
    <cellStyle name="40% - Accent6 4 2 5 2" xfId="11991"/>
    <cellStyle name="40% - Accent6 4 2 5 2 2" xfId="25706"/>
    <cellStyle name="40% - Accent6 4 2 5 3" xfId="24106"/>
    <cellStyle name="40% - Accent6 4 2 6" xfId="5045"/>
    <cellStyle name="40% - Accent6 4 2 6 2" xfId="13062"/>
    <cellStyle name="40% - Accent6 4 2 6 2 2" xfId="26774"/>
    <cellStyle name="40% - Accent6 4 2 6 3" xfId="22638"/>
    <cellStyle name="40% - Accent6 4 2 7" xfId="5046"/>
    <cellStyle name="40% - Accent6 4 2 7 2" xfId="13566"/>
    <cellStyle name="40% - Accent6 4 2 7 2 2" xfId="27115"/>
    <cellStyle name="40% - Accent6 4 2 7 3" xfId="22637"/>
    <cellStyle name="40% - Accent6 4 2 8" xfId="5047"/>
    <cellStyle name="40% - Accent6 4 2 8 2" xfId="14147"/>
    <cellStyle name="40% - Accent6 4 2 8 2 2" xfId="27696"/>
    <cellStyle name="40% - Accent6 4 2 8 3" xfId="24104"/>
    <cellStyle name="40% - Accent6 4 2 9" xfId="5048"/>
    <cellStyle name="40% - Accent6 4 2 9 2" xfId="15535"/>
    <cellStyle name="40% - Accent6 4 2 9 2 2" xfId="29084"/>
    <cellStyle name="40% - Accent6 4 2 9 3" xfId="22636"/>
    <cellStyle name="40% - Accent6 4 3" xfId="5049"/>
    <cellStyle name="40% - Accent6 4 3 10" xfId="9548"/>
    <cellStyle name="40% - Accent6 4 3 10 2" xfId="24023"/>
    <cellStyle name="40% - Accent6 4 3 11" xfId="24101"/>
    <cellStyle name="40% - Accent6 4 3 2" xfId="5050"/>
    <cellStyle name="40% - Accent6 4 3 2 2" xfId="5051"/>
    <cellStyle name="40% - Accent6 4 3 2 2 2" xfId="11276"/>
    <cellStyle name="40% - Accent6 4 3 2 2 2 2" xfId="25218"/>
    <cellStyle name="40% - Accent6 4 3 2 2 3" xfId="25247"/>
    <cellStyle name="40% - Accent6 4 3 2 3" xfId="5052"/>
    <cellStyle name="40% - Accent6 4 3 2 3 2" xfId="13067"/>
    <cellStyle name="40% - Accent6 4 3 2 3 2 2" xfId="26779"/>
    <cellStyle name="40% - Accent6 4 3 2 3 3" xfId="22634"/>
    <cellStyle name="40% - Accent6 4 3 2 4" xfId="5053"/>
    <cellStyle name="40% - Accent6 4 3 2 4 2" xfId="15542"/>
    <cellStyle name="40% - Accent6 4 3 2 4 2 2" xfId="29091"/>
    <cellStyle name="40% - Accent6 4 3 2 4 3" xfId="24437"/>
    <cellStyle name="40% - Accent6 4 3 2 5" xfId="5054"/>
    <cellStyle name="40% - Accent6 4 3 2 5 2" xfId="16763"/>
    <cellStyle name="40% - Accent6 4 3 2 5 2 2" xfId="30170"/>
    <cellStyle name="40% - Accent6 4 3 2 5 3" xfId="29133"/>
    <cellStyle name="40% - Accent6 4 3 2 6" xfId="9549"/>
    <cellStyle name="40% - Accent6 4 3 2 6 2" xfId="24024"/>
    <cellStyle name="40% - Accent6 4 3 2 7" xfId="22635"/>
    <cellStyle name="40% - Accent6 4 3 3" xfId="5055"/>
    <cellStyle name="40% - Accent6 4 3 3 2" xfId="5056"/>
    <cellStyle name="40% - Accent6 4 3 3 2 2" xfId="15543"/>
    <cellStyle name="40% - Accent6 4 3 3 2 2 2" xfId="29092"/>
    <cellStyle name="40% - Accent6 4 3 3 2 3" xfId="22632"/>
    <cellStyle name="40% - Accent6 4 3 3 3" xfId="11275"/>
    <cellStyle name="40% - Accent6 4 3 3 3 2" xfId="25217"/>
    <cellStyle name="40% - Accent6 4 3 3 4" xfId="22633"/>
    <cellStyle name="40% - Accent6 4 3 4" xfId="5057"/>
    <cellStyle name="40% - Accent6 4 3 4 2" xfId="12151"/>
    <cellStyle name="40% - Accent6 4 3 4 2 2" xfId="25863"/>
    <cellStyle name="40% - Accent6 4 3 4 3" xfId="24103"/>
    <cellStyle name="40% - Accent6 4 3 5" xfId="5058"/>
    <cellStyle name="40% - Accent6 4 3 5 2" xfId="13066"/>
    <cellStyle name="40% - Accent6 4 3 5 2 2" xfId="26778"/>
    <cellStyle name="40% - Accent6 4 3 5 3" xfId="22631"/>
    <cellStyle name="40% - Accent6 4 3 6" xfId="5059"/>
    <cellStyle name="40% - Accent6 4 3 6 2" xfId="13715"/>
    <cellStyle name="40% - Accent6 4 3 6 2 2" xfId="27264"/>
    <cellStyle name="40% - Accent6 4 3 6 3" xfId="24102"/>
    <cellStyle name="40% - Accent6 4 3 7" xfId="5060"/>
    <cellStyle name="40% - Accent6 4 3 7 2" xfId="14296"/>
    <cellStyle name="40% - Accent6 4 3 7 2 2" xfId="27845"/>
    <cellStyle name="40% - Accent6 4 3 7 3" xfId="22630"/>
    <cellStyle name="40% - Accent6 4 3 8" xfId="5061"/>
    <cellStyle name="40% - Accent6 4 3 8 2" xfId="15541"/>
    <cellStyle name="40% - Accent6 4 3 8 2 2" xfId="29090"/>
    <cellStyle name="40% - Accent6 4 3 8 3" xfId="23261"/>
    <cellStyle name="40% - Accent6 4 3 9" xfId="5062"/>
    <cellStyle name="40% - Accent6 4 3 9 2" xfId="16182"/>
    <cellStyle name="40% - Accent6 4 3 9 2 2" xfId="29589"/>
    <cellStyle name="40% - Accent6 4 3 9 3" xfId="24100"/>
    <cellStyle name="40% - Accent6 4 4" xfId="5063"/>
    <cellStyle name="40% - Accent6 4 4 2" xfId="5064"/>
    <cellStyle name="40% - Accent6 4 4 2 2" xfId="11277"/>
    <cellStyle name="40% - Accent6 4 4 2 2 2" xfId="25219"/>
    <cellStyle name="40% - Accent6 4 4 2 3" xfId="24099"/>
    <cellStyle name="40% - Accent6 4 4 3" xfId="5065"/>
    <cellStyle name="40% - Accent6 4 4 3 2" xfId="13068"/>
    <cellStyle name="40% - Accent6 4 4 3 2 2" xfId="26780"/>
    <cellStyle name="40% - Accent6 4 4 3 3" xfId="22628"/>
    <cellStyle name="40% - Accent6 4 4 4" xfId="5066"/>
    <cellStyle name="40% - Accent6 4 4 4 2" xfId="15544"/>
    <cellStyle name="40% - Accent6 4 4 4 2 2" xfId="29093"/>
    <cellStyle name="40% - Accent6 4 4 4 3" xfId="24098"/>
    <cellStyle name="40% - Accent6 4 4 5" xfId="5067"/>
    <cellStyle name="40% - Accent6 4 4 5 2" xfId="16471"/>
    <cellStyle name="40% - Accent6 4 4 5 2 2" xfId="29878"/>
    <cellStyle name="40% - Accent6 4 4 5 3" xfId="22627"/>
    <cellStyle name="40% - Accent6 4 4 6" xfId="9550"/>
    <cellStyle name="40% - Accent6 4 4 6 2" xfId="24025"/>
    <cellStyle name="40% - Accent6 4 4 7" xfId="22629"/>
    <cellStyle name="40% - Accent6 4 5" xfId="5068"/>
    <cellStyle name="40% - Accent6 4 5 2" xfId="5069"/>
    <cellStyle name="40% - Accent6 4 5 2 2" xfId="15545"/>
    <cellStyle name="40% - Accent6 4 5 2 2 2" xfId="29094"/>
    <cellStyle name="40% - Accent6 4 5 2 3" xfId="22626"/>
    <cellStyle name="40% - Accent6 4 5 3" xfId="11270"/>
    <cellStyle name="40% - Accent6 4 5 3 2" xfId="25212"/>
    <cellStyle name="40% - Accent6 4 5 4" xfId="24097"/>
    <cellStyle name="40% - Accent6 4 6" xfId="5070"/>
    <cellStyle name="40% - Accent6 4 6 2" xfId="11822"/>
    <cellStyle name="40% - Accent6 4 6 2 2" xfId="25537"/>
    <cellStyle name="40% - Accent6 4 6 3" xfId="24095"/>
    <cellStyle name="40% - Accent6 4 7" xfId="5071"/>
    <cellStyle name="40% - Accent6 4 7 2" xfId="13061"/>
    <cellStyle name="40% - Accent6 4 7 2 2" xfId="26773"/>
    <cellStyle name="40% - Accent6 4 7 3" xfId="24096"/>
    <cellStyle name="40% - Accent6 4 8" xfId="5072"/>
    <cellStyle name="40% - Accent6 4 8 2" xfId="13423"/>
    <cellStyle name="40% - Accent6 4 8 2 2" xfId="26972"/>
    <cellStyle name="40% - Accent6 4 8 3" xfId="22625"/>
    <cellStyle name="40% - Accent6 4 9" xfId="5073"/>
    <cellStyle name="40% - Accent6 4 9 2" xfId="14004"/>
    <cellStyle name="40% - Accent6 4 9 2 2" xfId="27553"/>
    <cellStyle name="40% - Accent6 4 9 3" xfId="22624"/>
    <cellStyle name="40% - Accent6 5" xfId="5074"/>
    <cellStyle name="40% - Accent6 5 10" xfId="5075"/>
    <cellStyle name="40% - Accent6 5 10 2" xfId="15546"/>
    <cellStyle name="40% - Accent6 5 10 2 2" xfId="29095"/>
    <cellStyle name="40% - Accent6 5 10 3" xfId="26810"/>
    <cellStyle name="40% - Accent6 5 11" xfId="5076"/>
    <cellStyle name="40% - Accent6 5 11 2" xfId="15873"/>
    <cellStyle name="40% - Accent6 5 11 2 2" xfId="29280"/>
    <cellStyle name="40% - Accent6 5 11 3" xfId="22623"/>
    <cellStyle name="40% - Accent6 5 12" xfId="9551"/>
    <cellStyle name="40% - Accent6 5 12 2" xfId="24026"/>
    <cellStyle name="40% - Accent6 5 13" xfId="24094"/>
    <cellStyle name="40% - Accent6 5 2" xfId="5077"/>
    <cellStyle name="40% - Accent6 5 2 10" xfId="5078"/>
    <cellStyle name="40% - Accent6 5 2 10 2" xfId="16016"/>
    <cellStyle name="40% - Accent6 5 2 10 2 2" xfId="29423"/>
    <cellStyle name="40% - Accent6 5 2 10 3" xfId="22622"/>
    <cellStyle name="40% - Accent6 5 2 11" xfId="9552"/>
    <cellStyle name="40% - Accent6 5 2 11 2" xfId="24027"/>
    <cellStyle name="40% - Accent6 5 2 12" xfId="26811"/>
    <cellStyle name="40% - Accent6 5 2 2" xfId="5079"/>
    <cellStyle name="40% - Accent6 5 2 2 10" xfId="9553"/>
    <cellStyle name="40% - Accent6 5 2 2 10 2" xfId="24028"/>
    <cellStyle name="40% - Accent6 5 2 2 11" xfId="22621"/>
    <cellStyle name="40% - Accent6 5 2 2 2" xfId="5080"/>
    <cellStyle name="40% - Accent6 5 2 2 2 2" xfId="5081"/>
    <cellStyle name="40% - Accent6 5 2 2 2 2 2" xfId="11281"/>
    <cellStyle name="40% - Accent6 5 2 2 2 2 2 2" xfId="25223"/>
    <cellStyle name="40% - Accent6 5 2 2 2 2 3" xfId="24093"/>
    <cellStyle name="40% - Accent6 5 2 2 2 3" xfId="5082"/>
    <cellStyle name="40% - Accent6 5 2 2 2 3 2" xfId="13072"/>
    <cellStyle name="40% - Accent6 5 2 2 2 3 2 2" xfId="26784"/>
    <cellStyle name="40% - Accent6 5 2 2 2 3 3" xfId="22620"/>
    <cellStyle name="40% - Accent6 5 2 2 2 4" xfId="5083"/>
    <cellStyle name="40% - Accent6 5 2 2 2 4 2" xfId="15549"/>
    <cellStyle name="40% - Accent6 5 2 2 2 4 2 2" xfId="29098"/>
    <cellStyle name="40% - Accent6 5 2 2 2 4 3" xfId="22619"/>
    <cellStyle name="40% - Accent6 5 2 2 2 5" xfId="5084"/>
    <cellStyle name="40% - Accent6 5 2 2 2 5 2" xfId="16886"/>
    <cellStyle name="40% - Accent6 5 2 2 2 5 2 2" xfId="30293"/>
    <cellStyle name="40% - Accent6 5 2 2 2 5 3" xfId="24091"/>
    <cellStyle name="40% - Accent6 5 2 2 2 6" xfId="9554"/>
    <cellStyle name="40% - Accent6 5 2 2 2 6 2" xfId="24029"/>
    <cellStyle name="40% - Accent6 5 2 2 2 7" xfId="24092"/>
    <cellStyle name="40% - Accent6 5 2 2 3" xfId="5085"/>
    <cellStyle name="40% - Accent6 5 2 2 3 2" xfId="5086"/>
    <cellStyle name="40% - Accent6 5 2 2 3 2 2" xfId="15550"/>
    <cellStyle name="40% - Accent6 5 2 2 3 2 2 2" xfId="29099"/>
    <cellStyle name="40% - Accent6 5 2 2 3 2 3" xfId="24088"/>
    <cellStyle name="40% - Accent6 5 2 2 3 3" xfId="11280"/>
    <cellStyle name="40% - Accent6 5 2 2 3 3 2" xfId="25222"/>
    <cellStyle name="40% - Accent6 5 2 2 3 4" xfId="22618"/>
    <cellStyle name="40% - Accent6 5 2 2 4" xfId="5087"/>
    <cellStyle name="40% - Accent6 5 2 2 4 2" xfId="12274"/>
    <cellStyle name="40% - Accent6 5 2 2 4 2 2" xfId="25986"/>
    <cellStyle name="40% - Accent6 5 2 2 4 3" xfId="22617"/>
    <cellStyle name="40% - Accent6 5 2 2 5" xfId="5088"/>
    <cellStyle name="40% - Accent6 5 2 2 5 2" xfId="13071"/>
    <cellStyle name="40% - Accent6 5 2 2 5 2 2" xfId="26783"/>
    <cellStyle name="40% - Accent6 5 2 2 5 3" xfId="25246"/>
    <cellStyle name="40% - Accent6 5 2 2 6" xfId="5089"/>
    <cellStyle name="40% - Accent6 5 2 2 6 2" xfId="13838"/>
    <cellStyle name="40% - Accent6 5 2 2 6 2 2" xfId="27387"/>
    <cellStyle name="40% - Accent6 5 2 2 6 3" xfId="22616"/>
    <cellStyle name="40% - Accent6 5 2 2 7" xfId="5090"/>
    <cellStyle name="40% - Accent6 5 2 2 7 2" xfId="14419"/>
    <cellStyle name="40% - Accent6 5 2 2 7 2 2" xfId="27968"/>
    <cellStyle name="40% - Accent6 5 2 2 7 3" xfId="24436"/>
    <cellStyle name="40% - Accent6 5 2 2 8" xfId="5091"/>
    <cellStyle name="40% - Accent6 5 2 2 8 2" xfId="15548"/>
    <cellStyle name="40% - Accent6 5 2 2 8 2 2" xfId="29097"/>
    <cellStyle name="40% - Accent6 5 2 2 8 3" xfId="29132"/>
    <cellStyle name="40% - Accent6 5 2 2 9" xfId="5092"/>
    <cellStyle name="40% - Accent6 5 2 2 9 2" xfId="16305"/>
    <cellStyle name="40% - Accent6 5 2 2 9 2 2" xfId="29712"/>
    <cellStyle name="40% - Accent6 5 2 2 9 3" xfId="22615"/>
    <cellStyle name="40% - Accent6 5 2 3" xfId="5093"/>
    <cellStyle name="40% - Accent6 5 2 3 2" xfId="5094"/>
    <cellStyle name="40% - Accent6 5 2 3 2 2" xfId="11282"/>
    <cellStyle name="40% - Accent6 5 2 3 2 2 2" xfId="25224"/>
    <cellStyle name="40% - Accent6 5 2 3 2 3" xfId="24090"/>
    <cellStyle name="40% - Accent6 5 2 3 3" xfId="5095"/>
    <cellStyle name="40% - Accent6 5 2 3 3 2" xfId="13073"/>
    <cellStyle name="40% - Accent6 5 2 3 3 2 2" xfId="26785"/>
    <cellStyle name="40% - Accent6 5 2 3 3 3" xfId="22613"/>
    <cellStyle name="40% - Accent6 5 2 3 4" xfId="5096"/>
    <cellStyle name="40% - Accent6 5 2 3 4 2" xfId="15551"/>
    <cellStyle name="40% - Accent6 5 2 3 4 2 2" xfId="29100"/>
    <cellStyle name="40% - Accent6 5 2 3 4 3" xfId="24089"/>
    <cellStyle name="40% - Accent6 5 2 3 5" xfId="5097"/>
    <cellStyle name="40% - Accent6 5 2 3 5 2" xfId="16597"/>
    <cellStyle name="40% - Accent6 5 2 3 5 2 2" xfId="30004"/>
    <cellStyle name="40% - Accent6 5 2 3 5 3" xfId="22612"/>
    <cellStyle name="40% - Accent6 5 2 3 6" xfId="9555"/>
    <cellStyle name="40% - Accent6 5 2 3 6 2" xfId="24030"/>
    <cellStyle name="40% - Accent6 5 2 3 7" xfId="22614"/>
    <cellStyle name="40% - Accent6 5 2 4" xfId="5098"/>
    <cellStyle name="40% - Accent6 5 2 4 2" xfId="5099"/>
    <cellStyle name="40% - Accent6 5 2 4 2 2" xfId="15552"/>
    <cellStyle name="40% - Accent6 5 2 4 2 2 2" xfId="29101"/>
    <cellStyle name="40% - Accent6 5 2 4 2 3" xfId="24087"/>
    <cellStyle name="40% - Accent6 5 2 4 3" xfId="11279"/>
    <cellStyle name="40% - Accent6 5 2 4 3 2" xfId="25221"/>
    <cellStyle name="40% - Accent6 5 2 4 4" xfId="23259"/>
    <cellStyle name="40% - Accent6 5 2 5" xfId="5100"/>
    <cellStyle name="40% - Accent6 5 2 5 2" xfId="11974"/>
    <cellStyle name="40% - Accent6 5 2 5 2 2" xfId="25689"/>
    <cellStyle name="40% - Accent6 5 2 5 3" xfId="22611"/>
    <cellStyle name="40% - Accent6 5 2 6" xfId="5101"/>
    <cellStyle name="40% - Accent6 5 2 6 2" xfId="13070"/>
    <cellStyle name="40% - Accent6 5 2 6 2 2" xfId="26782"/>
    <cellStyle name="40% - Accent6 5 2 6 3" xfId="24086"/>
    <cellStyle name="40% - Accent6 5 2 7" xfId="5102"/>
    <cellStyle name="40% - Accent6 5 2 7 2" xfId="13549"/>
    <cellStyle name="40% - Accent6 5 2 7 2 2" xfId="27098"/>
    <cellStyle name="40% - Accent6 5 2 7 3" xfId="22610"/>
    <cellStyle name="40% - Accent6 5 2 8" xfId="5103"/>
    <cellStyle name="40% - Accent6 5 2 8 2" xfId="14130"/>
    <cellStyle name="40% - Accent6 5 2 8 2 2" xfId="27679"/>
    <cellStyle name="40% - Accent6 5 2 8 3" xfId="24085"/>
    <cellStyle name="40% - Accent6 5 2 9" xfId="5104"/>
    <cellStyle name="40% - Accent6 5 2 9 2" xfId="15547"/>
    <cellStyle name="40% - Accent6 5 2 9 2 2" xfId="29096"/>
    <cellStyle name="40% - Accent6 5 2 9 3" xfId="22609"/>
    <cellStyle name="40% - Accent6 5 3" xfId="5105"/>
    <cellStyle name="40% - Accent6 5 3 10" xfId="9556"/>
    <cellStyle name="40% - Accent6 5 3 10 2" xfId="24031"/>
    <cellStyle name="40% - Accent6 5 3 11" xfId="24084"/>
    <cellStyle name="40% - Accent6 5 3 2" xfId="5106"/>
    <cellStyle name="40% - Accent6 5 3 2 2" xfId="5107"/>
    <cellStyle name="40% - Accent6 5 3 2 2 2" xfId="11284"/>
    <cellStyle name="40% - Accent6 5 3 2 2 2 2" xfId="25226"/>
    <cellStyle name="40% - Accent6 5 3 2 2 3" xfId="24082"/>
    <cellStyle name="40% - Accent6 5 3 2 3" xfId="5108"/>
    <cellStyle name="40% - Accent6 5 3 2 3 2" xfId="13075"/>
    <cellStyle name="40% - Accent6 5 3 2 3 2 2" xfId="26787"/>
    <cellStyle name="40% - Accent6 5 3 2 3 3" xfId="24083"/>
    <cellStyle name="40% - Accent6 5 3 2 4" xfId="5109"/>
    <cellStyle name="40% - Accent6 5 3 2 4 2" xfId="15554"/>
    <cellStyle name="40% - Accent6 5 3 2 4 2 2" xfId="29103"/>
    <cellStyle name="40% - Accent6 5 3 2 4 3" xfId="22607"/>
    <cellStyle name="40% - Accent6 5 3 2 5" xfId="5110"/>
    <cellStyle name="40% - Accent6 5 3 2 5 2" xfId="16746"/>
    <cellStyle name="40% - Accent6 5 3 2 5 2 2" xfId="30153"/>
    <cellStyle name="40% - Accent6 5 3 2 5 3" xfId="22606"/>
    <cellStyle name="40% - Accent6 5 3 2 6" xfId="9557"/>
    <cellStyle name="40% - Accent6 5 3 2 6 2" xfId="24032"/>
    <cellStyle name="40% - Accent6 5 3 2 7" xfId="22608"/>
    <cellStyle name="40% - Accent6 5 3 3" xfId="5111"/>
    <cellStyle name="40% - Accent6 5 3 3 2" xfId="5112"/>
    <cellStyle name="40% - Accent6 5 3 3 2 2" xfId="15555"/>
    <cellStyle name="40% - Accent6 5 3 3 2 2 2" xfId="29104"/>
    <cellStyle name="40% - Accent6 5 3 3 2 3" xfId="26808"/>
    <cellStyle name="40% - Accent6 5 3 3 3" xfId="11283"/>
    <cellStyle name="40% - Accent6 5 3 3 3 2" xfId="25225"/>
    <cellStyle name="40% - Accent6 5 3 3 4" xfId="24081"/>
    <cellStyle name="40% - Accent6 5 3 4" xfId="5113"/>
    <cellStyle name="40% - Accent6 5 3 4 2" xfId="12134"/>
    <cellStyle name="40% - Accent6 5 3 4 2 2" xfId="25846"/>
    <cellStyle name="40% - Accent6 5 3 4 3" xfId="22605"/>
    <cellStyle name="40% - Accent6 5 3 5" xfId="5114"/>
    <cellStyle name="40% - Accent6 5 3 5 2" xfId="13074"/>
    <cellStyle name="40% - Accent6 5 3 5 2 2" xfId="26786"/>
    <cellStyle name="40% - Accent6 5 3 5 3" xfId="26809"/>
    <cellStyle name="40% - Accent6 5 3 6" xfId="5115"/>
    <cellStyle name="40% - Accent6 5 3 6 2" xfId="13698"/>
    <cellStyle name="40% - Accent6 5 3 6 2 2" xfId="27247"/>
    <cellStyle name="40% - Accent6 5 3 6 3" xfId="22604"/>
    <cellStyle name="40% - Accent6 5 3 7" xfId="5116"/>
    <cellStyle name="40% - Accent6 5 3 7 2" xfId="14279"/>
    <cellStyle name="40% - Accent6 5 3 7 2 2" xfId="27828"/>
    <cellStyle name="40% - Accent6 5 3 7 3" xfId="22603"/>
    <cellStyle name="40% - Accent6 5 3 8" xfId="5117"/>
    <cellStyle name="40% - Accent6 5 3 8 2" xfId="15553"/>
    <cellStyle name="40% - Accent6 5 3 8 2 2" xfId="29102"/>
    <cellStyle name="40% - Accent6 5 3 8 3" xfId="24079"/>
    <cellStyle name="40% - Accent6 5 3 9" xfId="5118"/>
    <cellStyle name="40% - Accent6 5 3 9 2" xfId="16165"/>
    <cellStyle name="40% - Accent6 5 3 9 2 2" xfId="29572"/>
    <cellStyle name="40% - Accent6 5 3 9 3" xfId="24080"/>
    <cellStyle name="40% - Accent6 5 4" xfId="5119"/>
    <cellStyle name="40% - Accent6 5 4 2" xfId="5120"/>
    <cellStyle name="40% - Accent6 5 4 2 2" xfId="11285"/>
    <cellStyle name="40% - Accent6 5 4 2 2 2" xfId="25227"/>
    <cellStyle name="40% - Accent6 5 4 2 3" xfId="22601"/>
    <cellStyle name="40% - Accent6 5 4 3" xfId="5121"/>
    <cellStyle name="40% - Accent6 5 4 3 2" xfId="13076"/>
    <cellStyle name="40% - Accent6 5 4 3 2 2" xfId="26788"/>
    <cellStyle name="40% - Accent6 5 4 3 3" xfId="24078"/>
    <cellStyle name="40% - Accent6 5 4 4" xfId="5122"/>
    <cellStyle name="40% - Accent6 5 4 4 2" xfId="15556"/>
    <cellStyle name="40% - Accent6 5 4 4 2 2" xfId="29105"/>
    <cellStyle name="40% - Accent6 5 4 4 3" xfId="22600"/>
    <cellStyle name="40% - Accent6 5 4 5" xfId="5123"/>
    <cellStyle name="40% - Accent6 5 4 5 2" xfId="16454"/>
    <cellStyle name="40% - Accent6 5 4 5 2 2" xfId="29861"/>
    <cellStyle name="40% - Accent6 5 4 5 3" xfId="24075"/>
    <cellStyle name="40% - Accent6 5 4 6" xfId="9558"/>
    <cellStyle name="40% - Accent6 5 4 6 2" xfId="24033"/>
    <cellStyle name="40% - Accent6 5 4 7" xfId="22602"/>
    <cellStyle name="40% - Accent6 5 5" xfId="5124"/>
    <cellStyle name="40% - Accent6 5 5 2" xfId="5125"/>
    <cellStyle name="40% - Accent6 5 5 2 2" xfId="15557"/>
    <cellStyle name="40% - Accent6 5 5 2 2 2" xfId="29106"/>
    <cellStyle name="40% - Accent6 5 5 2 3" xfId="25245"/>
    <cellStyle name="40% - Accent6 5 5 3" xfId="11278"/>
    <cellStyle name="40% - Accent6 5 5 3 2" xfId="25220"/>
    <cellStyle name="40% - Accent6 5 5 4" xfId="22599"/>
    <cellStyle name="40% - Accent6 5 6" xfId="5126"/>
    <cellStyle name="40% - Accent6 5 6 2" xfId="11805"/>
    <cellStyle name="40% - Accent6 5 6 2 2" xfId="25520"/>
    <cellStyle name="40% - Accent6 5 6 3" xfId="22598"/>
    <cellStyle name="40% - Accent6 5 7" xfId="5127"/>
    <cellStyle name="40% - Accent6 5 7 2" xfId="13069"/>
    <cellStyle name="40% - Accent6 5 7 2 2" xfId="26781"/>
    <cellStyle name="40% - Accent6 5 7 3" xfId="24435"/>
    <cellStyle name="40% - Accent6 5 8" xfId="5128"/>
    <cellStyle name="40% - Accent6 5 8 2" xfId="13406"/>
    <cellStyle name="40% - Accent6 5 8 2 2" xfId="26955"/>
    <cellStyle name="40% - Accent6 5 8 3" xfId="29131"/>
    <cellStyle name="40% - Accent6 5 9" xfId="5129"/>
    <cellStyle name="40% - Accent6 5 9 2" xfId="13987"/>
    <cellStyle name="40% - Accent6 5 9 2 2" xfId="27536"/>
    <cellStyle name="40% - Accent6 5 9 3" xfId="22597"/>
    <cellStyle name="40% - Accent6 6" xfId="5130"/>
    <cellStyle name="40% - Accent6 6 10" xfId="5131"/>
    <cellStyle name="40% - Accent6 6 10 2" xfId="15558"/>
    <cellStyle name="40% - Accent6 6 10 2 2" xfId="29107"/>
    <cellStyle name="40% - Accent6 6 10 3" xfId="24077"/>
    <cellStyle name="40% - Accent6 6 11" xfId="5132"/>
    <cellStyle name="40% - Accent6 6 11 2" xfId="15979"/>
    <cellStyle name="40% - Accent6 6 11 2 2" xfId="29386"/>
    <cellStyle name="40% - Accent6 6 11 3" xfId="22595"/>
    <cellStyle name="40% - Accent6 6 12" xfId="9559"/>
    <cellStyle name="40% - Accent6 6 12 2" xfId="24034"/>
    <cellStyle name="40% - Accent6 6 13" xfId="22596"/>
    <cellStyle name="40% - Accent6 6 2" xfId="5133"/>
    <cellStyle name="40% - Accent6 6 2 10" xfId="5134"/>
    <cellStyle name="40% - Accent6 6 2 10 2" xfId="16122"/>
    <cellStyle name="40% - Accent6 6 2 10 2 2" xfId="29529"/>
    <cellStyle name="40% - Accent6 6 2 10 3" xfId="22594"/>
    <cellStyle name="40% - Accent6 6 2 11" xfId="9560"/>
    <cellStyle name="40% - Accent6 6 2 11 2" xfId="24035"/>
    <cellStyle name="40% - Accent6 6 2 12" xfId="24076"/>
    <cellStyle name="40% - Accent6 6 2 2" xfId="5135"/>
    <cellStyle name="40% - Accent6 6 2 2 10" xfId="9561"/>
    <cellStyle name="40% - Accent6 6 2 2 10 2" xfId="24036"/>
    <cellStyle name="40% - Accent6 6 2 2 11" xfId="23255"/>
    <cellStyle name="40% - Accent6 6 2 2 2" xfId="5136"/>
    <cellStyle name="40% - Accent6 6 2 2 2 2" xfId="5137"/>
    <cellStyle name="40% - Accent6 6 2 2 2 2 2" xfId="11289"/>
    <cellStyle name="40% - Accent6 6 2 2 2 2 2 2" xfId="25231"/>
    <cellStyle name="40% - Accent6 6 2 2 2 2 3" xfId="22593"/>
    <cellStyle name="40% - Accent6 6 2 2 2 3" xfId="5138"/>
    <cellStyle name="40% - Accent6 6 2 2 2 3 2" xfId="13080"/>
    <cellStyle name="40% - Accent6 6 2 2 2 3 2 2" xfId="26792"/>
    <cellStyle name="40% - Accent6 6 2 2 2 3 3" xfId="24073"/>
    <cellStyle name="40% - Accent6 6 2 2 2 4" xfId="5139"/>
    <cellStyle name="40% - Accent6 6 2 2 2 4 2" xfId="15561"/>
    <cellStyle name="40% - Accent6 6 2 2 2 4 2 2" xfId="29110"/>
    <cellStyle name="40% - Accent6 6 2 2 2 4 3" xfId="22592"/>
    <cellStyle name="40% - Accent6 6 2 2 2 5" xfId="5140"/>
    <cellStyle name="40% - Accent6 6 2 2 2 5 2" xfId="16992"/>
    <cellStyle name="40% - Accent6 6 2 2 2 5 2 2" xfId="30399"/>
    <cellStyle name="40% - Accent6 6 2 2 2 5 3" xfId="24072"/>
    <cellStyle name="40% - Accent6 6 2 2 2 6" xfId="9562"/>
    <cellStyle name="40% - Accent6 6 2 2 2 6 2" xfId="24037"/>
    <cellStyle name="40% - Accent6 6 2 2 2 7" xfId="24074"/>
    <cellStyle name="40% - Accent6 6 2 2 3" xfId="5141"/>
    <cellStyle name="40% - Accent6 6 2 2 3 2" xfId="5142"/>
    <cellStyle name="40% - Accent6 6 2 2 3 2 2" xfId="15562"/>
    <cellStyle name="40% - Accent6 6 2 2 3 2 2 2" xfId="29111"/>
    <cellStyle name="40% - Accent6 6 2 2 3 2 3" xfId="24071"/>
    <cellStyle name="40% - Accent6 6 2 2 3 3" xfId="11288"/>
    <cellStyle name="40% - Accent6 6 2 2 3 3 2" xfId="25230"/>
    <cellStyle name="40% - Accent6 6 2 2 3 4" xfId="22591"/>
    <cellStyle name="40% - Accent6 6 2 2 4" xfId="5143"/>
    <cellStyle name="40% - Accent6 6 2 2 4 2" xfId="12380"/>
    <cellStyle name="40% - Accent6 6 2 2 4 2 2" xfId="26092"/>
    <cellStyle name="40% - Accent6 6 2 2 4 3" xfId="22590"/>
    <cellStyle name="40% - Accent6 6 2 2 5" xfId="5144"/>
    <cellStyle name="40% - Accent6 6 2 2 5 2" xfId="13079"/>
    <cellStyle name="40% - Accent6 6 2 2 5 2 2" xfId="26791"/>
    <cellStyle name="40% - Accent6 6 2 2 5 3" xfId="24069"/>
    <cellStyle name="40% - Accent6 6 2 2 6" xfId="5145"/>
    <cellStyle name="40% - Accent6 6 2 2 6 2" xfId="13944"/>
    <cellStyle name="40% - Accent6 6 2 2 6 2 2" xfId="27493"/>
    <cellStyle name="40% - Accent6 6 2 2 6 3" xfId="24070"/>
    <cellStyle name="40% - Accent6 6 2 2 7" xfId="5146"/>
    <cellStyle name="40% - Accent6 6 2 2 7 2" xfId="14525"/>
    <cellStyle name="40% - Accent6 6 2 2 7 2 2" xfId="28074"/>
    <cellStyle name="40% - Accent6 6 2 2 7 3" xfId="22589"/>
    <cellStyle name="40% - Accent6 6 2 2 8" xfId="5147"/>
    <cellStyle name="40% - Accent6 6 2 2 8 2" xfId="15560"/>
    <cellStyle name="40% - Accent6 6 2 2 8 2 2" xfId="29109"/>
    <cellStyle name="40% - Accent6 6 2 2 8 3" xfId="22588"/>
    <cellStyle name="40% - Accent6 6 2 2 9" xfId="5148"/>
    <cellStyle name="40% - Accent6 6 2 2 9 2" xfId="16411"/>
    <cellStyle name="40% - Accent6 6 2 2 9 2 2" xfId="29818"/>
    <cellStyle name="40% - Accent6 6 2 2 9 3" xfId="24068"/>
    <cellStyle name="40% - Accent6 6 2 3" xfId="5149"/>
    <cellStyle name="40% - Accent6 6 2 3 2" xfId="5150"/>
    <cellStyle name="40% - Accent6 6 2 3 2 2" xfId="11290"/>
    <cellStyle name="40% - Accent6 6 2 3 2 2 2" xfId="25232"/>
    <cellStyle name="40% - Accent6 6 2 3 2 3" xfId="22587"/>
    <cellStyle name="40% - Accent6 6 2 3 3" xfId="5151"/>
    <cellStyle name="40% - Accent6 6 2 3 3 2" xfId="13081"/>
    <cellStyle name="40% - Accent6 6 2 3 3 2 2" xfId="26793"/>
    <cellStyle name="40% - Accent6 6 2 3 3 3" xfId="26807"/>
    <cellStyle name="40% - Accent6 6 2 3 4" xfId="5152"/>
    <cellStyle name="40% - Accent6 6 2 3 4 2" xfId="15563"/>
    <cellStyle name="40% - Accent6 6 2 3 4 2 2" xfId="29112"/>
    <cellStyle name="40% - Accent6 6 2 3 4 3" xfId="22586"/>
    <cellStyle name="40% - Accent6 6 2 3 5" xfId="5153"/>
    <cellStyle name="40% - Accent6 6 2 3 5 2" xfId="16703"/>
    <cellStyle name="40% - Accent6 6 2 3 5 2 2" xfId="30110"/>
    <cellStyle name="40% - Accent6 6 2 3 5 3" xfId="22585"/>
    <cellStyle name="40% - Accent6 6 2 3 6" xfId="9563"/>
    <cellStyle name="40% - Accent6 6 2 3 6 2" xfId="24038"/>
    <cellStyle name="40% - Accent6 6 2 3 7" xfId="26806"/>
    <cellStyle name="40% - Accent6 6 2 4" xfId="5154"/>
    <cellStyle name="40% - Accent6 6 2 4 2" xfId="5155"/>
    <cellStyle name="40% - Accent6 6 2 4 2 2" xfId="15564"/>
    <cellStyle name="40% - Accent6 6 2 4 2 2 2" xfId="29113"/>
    <cellStyle name="40% - Accent6 6 2 4 2 3" xfId="24067"/>
    <cellStyle name="40% - Accent6 6 2 4 3" xfId="11287"/>
    <cellStyle name="40% - Accent6 6 2 4 3 2" xfId="25229"/>
    <cellStyle name="40% - Accent6 6 2 4 4" xfId="24066"/>
    <cellStyle name="40% - Accent6 6 2 5" xfId="5156"/>
    <cellStyle name="40% - Accent6 6 2 5 2" xfId="12080"/>
    <cellStyle name="40% - Accent6 6 2 5 2 2" xfId="25795"/>
    <cellStyle name="40% - Accent6 6 2 5 3" xfId="22584"/>
    <cellStyle name="40% - Accent6 6 2 6" xfId="5157"/>
    <cellStyle name="40% - Accent6 6 2 6 2" xfId="13078"/>
    <cellStyle name="40% - Accent6 6 2 6 2 2" xfId="26790"/>
    <cellStyle name="40% - Accent6 6 2 6 3" xfId="22583"/>
    <cellStyle name="40% - Accent6 6 2 7" xfId="5158"/>
    <cellStyle name="40% - Accent6 6 2 7 2" xfId="13655"/>
    <cellStyle name="40% - Accent6 6 2 7 2 2" xfId="27204"/>
    <cellStyle name="40% - Accent6 6 2 7 3" xfId="24065"/>
    <cellStyle name="40% - Accent6 6 2 8" xfId="5159"/>
    <cellStyle name="40% - Accent6 6 2 8 2" xfId="14236"/>
    <cellStyle name="40% - Accent6 6 2 8 2 2" xfId="27785"/>
    <cellStyle name="40% - Accent6 6 2 8 3" xfId="22582"/>
    <cellStyle name="40% - Accent6 6 2 9" xfId="5160"/>
    <cellStyle name="40% - Accent6 6 2 9 2" xfId="15559"/>
    <cellStyle name="40% - Accent6 6 2 9 2 2" xfId="29108"/>
    <cellStyle name="40% - Accent6 6 2 9 3" xfId="24062"/>
    <cellStyle name="40% - Accent6 6 3" xfId="5161"/>
    <cellStyle name="40% - Accent6 6 3 10" xfId="9564"/>
    <cellStyle name="40% - Accent6 6 3 10 2" xfId="24039"/>
    <cellStyle name="40% - Accent6 6 3 11" xfId="22581"/>
    <cellStyle name="40% - Accent6 6 3 2" xfId="5162"/>
    <cellStyle name="40% - Accent6 6 3 2 2" xfId="5163"/>
    <cellStyle name="40% - Accent6 6 3 2 2 2" xfId="11292"/>
    <cellStyle name="40% - Accent6 6 3 2 2 2 2" xfId="25234"/>
    <cellStyle name="40% - Accent6 6 3 2 2 3" xfId="22580"/>
    <cellStyle name="40% - Accent6 6 3 2 3" xfId="5164"/>
    <cellStyle name="40% - Accent6 6 3 2 3 2" xfId="13083"/>
    <cellStyle name="40% - Accent6 6 3 2 3 2 2" xfId="26795"/>
    <cellStyle name="40% - Accent6 6 3 2 3 3" xfId="24434"/>
    <cellStyle name="40% - Accent6 6 3 2 4" xfId="5165"/>
    <cellStyle name="40% - Accent6 6 3 2 4 2" xfId="15566"/>
    <cellStyle name="40% - Accent6 6 3 2 4 2 2" xfId="29115"/>
    <cellStyle name="40% - Accent6 6 3 2 4 3" xfId="29130"/>
    <cellStyle name="40% - Accent6 6 3 2 5" xfId="5166"/>
    <cellStyle name="40% - Accent6 6 3 2 5 2" xfId="16849"/>
    <cellStyle name="40% - Accent6 6 3 2 5 2 2" xfId="30256"/>
    <cellStyle name="40% - Accent6 6 3 2 5 3" xfId="22579"/>
    <cellStyle name="40% - Accent6 6 3 2 6" xfId="9565"/>
    <cellStyle name="40% - Accent6 6 3 2 6 2" xfId="24040"/>
    <cellStyle name="40% - Accent6 6 3 2 7" xfId="25244"/>
    <cellStyle name="40% - Accent6 6 3 3" xfId="5167"/>
    <cellStyle name="40% - Accent6 6 3 3 2" xfId="5168"/>
    <cellStyle name="40% - Accent6 6 3 3 2 2" xfId="15567"/>
    <cellStyle name="40% - Accent6 6 3 3 2 2 2" xfId="29116"/>
    <cellStyle name="40% - Accent6 6 3 3 2 3" xfId="24064"/>
    <cellStyle name="40% - Accent6 6 3 3 3" xfId="11291"/>
    <cellStyle name="40% - Accent6 6 3 3 3 2" xfId="25233"/>
    <cellStyle name="40% - Accent6 6 3 3 4" xfId="22578"/>
    <cellStyle name="40% - Accent6 6 3 4" xfId="5169"/>
    <cellStyle name="40% - Accent6 6 3 4 2" xfId="12237"/>
    <cellStyle name="40% - Accent6 6 3 4 2 2" xfId="25949"/>
    <cellStyle name="40% - Accent6 6 3 4 3" xfId="22577"/>
    <cellStyle name="40% - Accent6 6 3 5" xfId="5170"/>
    <cellStyle name="40% - Accent6 6 3 5 2" xfId="13082"/>
    <cellStyle name="40% - Accent6 6 3 5 2 2" xfId="26794"/>
    <cellStyle name="40% - Accent6 6 3 5 3" xfId="24063"/>
    <cellStyle name="40% - Accent6 6 3 6" xfId="5171"/>
    <cellStyle name="40% - Accent6 6 3 6 2" xfId="13801"/>
    <cellStyle name="40% - Accent6 6 3 6 2 2" xfId="27350"/>
    <cellStyle name="40% - Accent6 6 3 6 3" xfId="22576"/>
    <cellStyle name="40% - Accent6 6 3 7" xfId="5172"/>
    <cellStyle name="40% - Accent6 6 3 7 2" xfId="14382"/>
    <cellStyle name="40% - Accent6 6 3 7 2 2" xfId="27931"/>
    <cellStyle name="40% - Accent6 6 3 7 3" xfId="23251"/>
    <cellStyle name="40% - Accent6 6 3 8" xfId="5173"/>
    <cellStyle name="40% - Accent6 6 3 8 2" xfId="15565"/>
    <cellStyle name="40% - Accent6 6 3 8 2 2" xfId="29114"/>
    <cellStyle name="40% - Accent6 6 3 8 3" xfId="24061"/>
    <cellStyle name="40% - Accent6 6 3 9" xfId="5174"/>
    <cellStyle name="40% - Accent6 6 3 9 2" xfId="16268"/>
    <cellStyle name="40% - Accent6 6 3 9 2 2" xfId="29675"/>
    <cellStyle name="40% - Accent6 6 3 9 3" xfId="22575"/>
    <cellStyle name="40% - Accent6 6 4" xfId="5175"/>
    <cellStyle name="40% - Accent6 6 4 2" xfId="5176"/>
    <cellStyle name="40% - Accent6 6 4 2 2" xfId="11293"/>
    <cellStyle name="40% - Accent6 6 4 2 2 2" xfId="25235"/>
    <cellStyle name="40% - Accent6 6 4 2 3" xfId="22574"/>
    <cellStyle name="40% - Accent6 6 4 3" xfId="5177"/>
    <cellStyle name="40% - Accent6 6 4 3 2" xfId="13084"/>
    <cellStyle name="40% - Accent6 6 4 3 2 2" xfId="26796"/>
    <cellStyle name="40% - Accent6 6 4 3 3" xfId="24059"/>
    <cellStyle name="40% - Accent6 6 4 4" xfId="5178"/>
    <cellStyle name="40% - Accent6 6 4 4 2" xfId="15568"/>
    <cellStyle name="40% - Accent6 6 4 4 2 2" xfId="29117"/>
    <cellStyle name="40% - Accent6 6 4 4 3" xfId="22573"/>
    <cellStyle name="40% - Accent6 6 4 5" xfId="5179"/>
    <cellStyle name="40% - Accent6 6 4 5 2" xfId="16560"/>
    <cellStyle name="40% - Accent6 6 4 5 2 2" xfId="29967"/>
    <cellStyle name="40% - Accent6 6 4 5 3" xfId="24058"/>
    <cellStyle name="40% - Accent6 6 4 6" xfId="9566"/>
    <cellStyle name="40% - Accent6 6 4 6 2" xfId="24041"/>
    <cellStyle name="40% - Accent6 6 4 7" xfId="24060"/>
    <cellStyle name="40% - Accent6 6 5" xfId="5180"/>
    <cellStyle name="40% - Accent6 6 5 2" xfId="5181"/>
    <cellStyle name="40% - Accent6 6 5 2 2" xfId="15569"/>
    <cellStyle name="40% - Accent6 6 5 2 2 2" xfId="29118"/>
    <cellStyle name="40% - Accent6 6 5 2 3" xfId="24056"/>
    <cellStyle name="40% - Accent6 6 5 3" xfId="11286"/>
    <cellStyle name="40% - Accent6 6 5 3 2" xfId="25228"/>
    <cellStyle name="40% - Accent6 6 5 4" xfId="22572"/>
    <cellStyle name="40% - Accent6 6 6" xfId="5182"/>
    <cellStyle name="40% - Accent6 6 6 2" xfId="11935"/>
    <cellStyle name="40% - Accent6 6 6 2 2" xfId="25650"/>
    <cellStyle name="40% - Accent6 6 6 3" xfId="24057"/>
    <cellStyle name="40% - Accent6 6 7" xfId="5183"/>
    <cellStyle name="40% - Accent6 6 7 2" xfId="13077"/>
    <cellStyle name="40% - Accent6 6 7 2 2" xfId="26789"/>
    <cellStyle name="40% - Accent6 6 7 3" xfId="22571"/>
    <cellStyle name="40% - Accent6 6 8" xfId="5184"/>
    <cellStyle name="40% - Accent6 6 8 2" xfId="13512"/>
    <cellStyle name="40% - Accent6 6 8 2 2" xfId="27061"/>
    <cellStyle name="40% - Accent6 6 8 3" xfId="22570"/>
    <cellStyle name="40% - Accent6 6 9" xfId="5185"/>
    <cellStyle name="40% - Accent6 6 9 2" xfId="14093"/>
    <cellStyle name="40% - Accent6 6 9 2 2" xfId="27642"/>
    <cellStyle name="40% - Accent6 6 9 3" xfId="24055"/>
    <cellStyle name="40% - Accent6 7" xfId="5186"/>
    <cellStyle name="40% - Accent6 7 10" xfId="5187"/>
    <cellStyle name="40% - Accent6 7 10 2" xfId="15999"/>
    <cellStyle name="40% - Accent6 7 10 2 2" xfId="29406"/>
    <cellStyle name="40% - Accent6 7 10 3" xfId="22569"/>
    <cellStyle name="40% - Accent6 7 11" xfId="9567"/>
    <cellStyle name="40% - Accent6 7 11 2" xfId="24042"/>
    <cellStyle name="40% - Accent6 7 12" xfId="26804"/>
    <cellStyle name="40% - Accent6 7 2" xfId="5188"/>
    <cellStyle name="40% - Accent6 7 2 10" xfId="9568"/>
    <cellStyle name="40% - Accent6 7 2 10 2" xfId="24043"/>
    <cellStyle name="40% - Accent6 7 2 11" xfId="26805"/>
    <cellStyle name="40% - Accent6 7 2 2" xfId="5189"/>
    <cellStyle name="40% - Accent6 7 2 2 2" xfId="5190"/>
    <cellStyle name="40% - Accent6 7 2 2 2 2" xfId="11296"/>
    <cellStyle name="40% - Accent6 7 2 2 2 2 2" xfId="25238"/>
    <cellStyle name="40% - Accent6 7 2 2 2 3" xfId="22567"/>
    <cellStyle name="40% - Accent6 7 2 2 3" xfId="5191"/>
    <cellStyle name="40% - Accent6 7 2 2 3 2" xfId="13087"/>
    <cellStyle name="40% - Accent6 7 2 2 3 2 2" xfId="26799"/>
    <cellStyle name="40% - Accent6 7 2 2 3 3" xfId="24053"/>
    <cellStyle name="40% - Accent6 7 2 2 4" xfId="5192"/>
    <cellStyle name="40% - Accent6 7 2 2 4 2" xfId="15572"/>
    <cellStyle name="40% - Accent6 7 2 2 4 2 2" xfId="29121"/>
    <cellStyle name="40% - Accent6 7 2 2 4 3" xfId="24054"/>
    <cellStyle name="40% - Accent6 7 2 2 5" xfId="5193"/>
    <cellStyle name="40% - Accent6 7 2 2 5 2" xfId="16869"/>
    <cellStyle name="40% - Accent6 7 2 2 5 2 2" xfId="30276"/>
    <cellStyle name="40% - Accent6 7 2 2 5 3" xfId="22566"/>
    <cellStyle name="40% - Accent6 7 2 2 6" xfId="9569"/>
    <cellStyle name="40% - Accent6 7 2 2 6 2" xfId="24044"/>
    <cellStyle name="40% - Accent6 7 2 2 7" xfId="22568"/>
    <cellStyle name="40% - Accent6 7 2 3" xfId="5194"/>
    <cellStyle name="40% - Accent6 7 2 3 2" xfId="5195"/>
    <cellStyle name="40% - Accent6 7 2 3 2 2" xfId="15573"/>
    <cellStyle name="40% - Accent6 7 2 3 2 2 2" xfId="29122"/>
    <cellStyle name="40% - Accent6 7 2 3 2 3" xfId="24052"/>
    <cellStyle name="40% - Accent6 7 2 3 3" xfId="11295"/>
    <cellStyle name="40% - Accent6 7 2 3 3 2" xfId="25237"/>
    <cellStyle name="40% - Accent6 7 2 3 4" xfId="22565"/>
    <cellStyle name="40% - Accent6 7 2 4" xfId="5196"/>
    <cellStyle name="40% - Accent6 7 2 4 2" xfId="12257"/>
    <cellStyle name="40% - Accent6 7 2 4 2 2" xfId="25969"/>
    <cellStyle name="40% - Accent6 7 2 4 3" xfId="22564"/>
    <cellStyle name="40% - Accent6 7 2 5" xfId="5197"/>
    <cellStyle name="40% - Accent6 7 2 5 2" xfId="13086"/>
    <cellStyle name="40% - Accent6 7 2 5 2 2" xfId="26798"/>
    <cellStyle name="40% - Accent6 7 2 5 3" xfId="24049"/>
    <cellStyle name="40% - Accent6 7 2 6" xfId="5198"/>
    <cellStyle name="40% - Accent6 7 2 6 2" xfId="13821"/>
    <cellStyle name="40% - Accent6 7 2 6 2 2" xfId="27370"/>
    <cellStyle name="40% - Accent6 7 2 6 3" xfId="22563"/>
    <cellStyle name="40% - Accent6 7 2 7" xfId="5199"/>
    <cellStyle name="40% - Accent6 7 2 7 2" xfId="14402"/>
    <cellStyle name="40% - Accent6 7 2 7 2 2" xfId="27951"/>
    <cellStyle name="40% - Accent6 7 2 7 3" xfId="25243"/>
    <cellStyle name="40% - Accent6 7 2 8" xfId="5200"/>
    <cellStyle name="40% - Accent6 7 2 8 2" xfId="15571"/>
    <cellStyle name="40% - Accent6 7 2 8 2 2" xfId="29120"/>
    <cellStyle name="40% - Accent6 7 2 8 3" xfId="22562"/>
    <cellStyle name="40% - Accent6 7 2 9" xfId="5201"/>
    <cellStyle name="40% - Accent6 7 2 9 2" xfId="16288"/>
    <cellStyle name="40% - Accent6 7 2 9 2 2" xfId="29695"/>
    <cellStyle name="40% - Accent6 7 2 9 3" xfId="24433"/>
    <cellStyle name="40% - Accent6 7 3" xfId="5202"/>
    <cellStyle name="40% - Accent6 7 3 2" xfId="5203"/>
    <cellStyle name="40% - Accent6 7 3 2 2" xfId="11297"/>
    <cellStyle name="40% - Accent6 7 3 2 2 2" xfId="25239"/>
    <cellStyle name="40% - Accent6 7 3 2 3" xfId="22561"/>
    <cellStyle name="40% - Accent6 7 3 3" xfId="5204"/>
    <cellStyle name="40% - Accent6 7 3 3 2" xfId="13088"/>
    <cellStyle name="40% - Accent6 7 3 3 2 2" xfId="26800"/>
    <cellStyle name="40% - Accent6 7 3 3 3" xfId="22560"/>
    <cellStyle name="40% - Accent6 7 3 4" xfId="5205"/>
    <cellStyle name="40% - Accent6 7 3 4 2" xfId="15574"/>
    <cellStyle name="40% - Accent6 7 3 4 2 2" xfId="29123"/>
    <cellStyle name="40% - Accent6 7 3 4 3" xfId="24051"/>
    <cellStyle name="40% - Accent6 7 3 5" xfId="5206"/>
    <cellStyle name="40% - Accent6 7 3 5 2" xfId="16580"/>
    <cellStyle name="40% - Accent6 7 3 5 2 2" xfId="29987"/>
    <cellStyle name="40% - Accent6 7 3 5 3" xfId="22559"/>
    <cellStyle name="40% - Accent6 7 3 6" xfId="9570"/>
    <cellStyle name="40% - Accent6 7 3 6 2" xfId="24045"/>
    <cellStyle name="40% - Accent6 7 3 7" xfId="29129"/>
    <cellStyle name="40% - Accent6 7 4" xfId="5207"/>
    <cellStyle name="40% - Accent6 7 4 2" xfId="5208"/>
    <cellStyle name="40% - Accent6 7 4 2 2" xfId="15575"/>
    <cellStyle name="40% - Accent6 7 4 2 2 2" xfId="29124"/>
    <cellStyle name="40% - Accent6 7 4 2 3" xfId="22558"/>
    <cellStyle name="40% - Accent6 7 4 3" xfId="11294"/>
    <cellStyle name="40% - Accent6 7 4 3 2" xfId="25236"/>
    <cellStyle name="40% - Accent6 7 4 4" xfId="24050"/>
    <cellStyle name="40% - Accent6 7 5" xfId="5209"/>
    <cellStyle name="40% - Accent6 7 5 2" xfId="11955"/>
    <cellStyle name="40% - Accent6 7 5 2 2" xfId="25670"/>
    <cellStyle name="40% - Accent6 7 5 3" xfId="23248"/>
    <cellStyle name="40% - Accent6 7 6" xfId="5210"/>
    <cellStyle name="40% - Accent6 7 6 2" xfId="13085"/>
    <cellStyle name="40% - Accent6 7 6 2 2" xfId="26797"/>
    <cellStyle name="40% - Accent6 7 6 3" xfId="22557"/>
    <cellStyle name="40% - Accent6 7 7" xfId="5211"/>
    <cellStyle name="40% - Accent6 7 7 2" xfId="13532"/>
    <cellStyle name="40% - Accent6 7 7 2 2" xfId="27081"/>
    <cellStyle name="40% - Accent6 7 7 3" xfId="22556"/>
    <cellStyle name="40% - Accent6 7 8" xfId="5212"/>
    <cellStyle name="40% - Accent6 7 8 2" xfId="14113"/>
    <cellStyle name="40% - Accent6 7 8 2 2" xfId="27662"/>
    <cellStyle name="40% - Accent6 7 8 3" xfId="22555"/>
    <cellStyle name="40% - Accent6 7 9" xfId="5213"/>
    <cellStyle name="40% - Accent6 7 9 2" xfId="15570"/>
    <cellStyle name="40% - Accent6 7 9 2 2" xfId="29119"/>
    <cellStyle name="40% - Accent6 7 9 3" xfId="22554"/>
    <cellStyle name="40% - Accent6 8" xfId="5214"/>
    <cellStyle name="40% - Accent6 8 10" xfId="9571"/>
    <cellStyle name="40% - Accent6 8 10 2" xfId="24046"/>
    <cellStyle name="40% - Accent6 8 11" xfId="22553"/>
    <cellStyle name="40% - Accent6 8 2" xfId="5215"/>
    <cellStyle name="40% - Accent6 8 2 2" xfId="5216"/>
    <cellStyle name="40% - Accent6 8 2 2 2" xfId="11299"/>
    <cellStyle name="40% - Accent6 8 2 2 2 2" xfId="25241"/>
    <cellStyle name="40% - Accent6 8 2 2 3" xfId="22551"/>
    <cellStyle name="40% - Accent6 8 2 3" xfId="5217"/>
    <cellStyle name="40% - Accent6 8 2 3 2" xfId="13090"/>
    <cellStyle name="40% - Accent6 8 2 3 2 2" xfId="26802"/>
    <cellStyle name="40% - Accent6 8 2 3 3" xfId="22550"/>
    <cellStyle name="40% - Accent6 8 2 4" xfId="5218"/>
    <cellStyle name="40% - Accent6 8 2 4 2" xfId="15577"/>
    <cellStyle name="40% - Accent6 8 2 4 2 2" xfId="29126"/>
    <cellStyle name="40% - Accent6 8 2 4 3" xfId="22549"/>
    <cellStyle name="40% - Accent6 8 2 5" xfId="5219"/>
    <cellStyle name="40% - Accent6 8 2 5 2" xfId="16723"/>
    <cellStyle name="40% - Accent6 8 2 5 2 2" xfId="30130"/>
    <cellStyle name="40% - Accent6 8 2 5 3" xfId="22548"/>
    <cellStyle name="40% - Accent6 8 2 6" xfId="9572"/>
    <cellStyle name="40% - Accent6 8 2 6 2" xfId="24047"/>
    <cellStyle name="40% - Accent6 8 2 7" xfId="22552"/>
    <cellStyle name="40% - Accent6 8 3" xfId="5220"/>
    <cellStyle name="40% - Accent6 8 3 2" xfId="5221"/>
    <cellStyle name="40% - Accent6 8 3 2 2" xfId="15578"/>
    <cellStyle name="40% - Accent6 8 3 2 2 2" xfId="29127"/>
    <cellStyle name="40% - Accent6 8 3 2 3" xfId="22546"/>
    <cellStyle name="40% - Accent6 8 3 3" xfId="11298"/>
    <cellStyle name="40% - Accent6 8 3 3 2" xfId="25240"/>
    <cellStyle name="40% - Accent6 8 3 4" xfId="22547"/>
    <cellStyle name="40% - Accent6 8 4" xfId="5222"/>
    <cellStyle name="40% - Accent6 8 4 2" xfId="12101"/>
    <cellStyle name="40% - Accent6 8 4 2 2" xfId="25815"/>
    <cellStyle name="40% - Accent6 8 4 3" xfId="22545"/>
    <cellStyle name="40% - Accent6 8 5" xfId="5223"/>
    <cellStyle name="40% - Accent6 8 5 2" xfId="13089"/>
    <cellStyle name="40% - Accent6 8 5 2 2" xfId="26801"/>
    <cellStyle name="40% - Accent6 8 5 3" xfId="22544"/>
    <cellStyle name="40% - Accent6 8 6" xfId="5224"/>
    <cellStyle name="40% - Accent6 8 6 2" xfId="13675"/>
    <cellStyle name="40% - Accent6 8 6 2 2" xfId="27224"/>
    <cellStyle name="40% - Accent6 8 6 3" xfId="22543"/>
    <cellStyle name="40% - Accent6 8 7" xfId="5225"/>
    <cellStyle name="40% - Accent6 8 7 2" xfId="14256"/>
    <cellStyle name="40% - Accent6 8 7 2 2" xfId="27805"/>
    <cellStyle name="40% - Accent6 8 7 3" xfId="22542"/>
    <cellStyle name="40% - Accent6 8 8" xfId="5226"/>
    <cellStyle name="40% - Accent6 8 8 2" xfId="15576"/>
    <cellStyle name="40% - Accent6 8 8 2 2" xfId="29125"/>
    <cellStyle name="40% - Accent6 8 8 3" xfId="22541"/>
    <cellStyle name="40% - Accent6 8 9" xfId="5227"/>
    <cellStyle name="40% - Accent6 8 9 2" xfId="16142"/>
    <cellStyle name="40% - Accent6 8 9 2 2" xfId="29549"/>
    <cellStyle name="40% - Accent6 8 9 3" xfId="22540"/>
    <cellStyle name="40% - Accent6 9" xfId="5228"/>
    <cellStyle name="40% - Accent6 9 2" xfId="5229"/>
    <cellStyle name="40% - Accent6 9 2 2" xfId="11300"/>
    <cellStyle name="40% - Accent6 9 2 2 2" xfId="25242"/>
    <cellStyle name="40% - Accent6 9 2 3" xfId="22538"/>
    <cellStyle name="40% - Accent6 9 3" xfId="5230"/>
    <cellStyle name="40% - Accent6 9 3 2" xfId="13091"/>
    <cellStyle name="40% - Accent6 9 3 2 2" xfId="26803"/>
    <cellStyle name="40% - Accent6 9 3 3" xfId="22537"/>
    <cellStyle name="40% - Accent6 9 4" xfId="5231"/>
    <cellStyle name="40% - Accent6 9 4 2" xfId="15579"/>
    <cellStyle name="40% - Accent6 9 4 2 2" xfId="29128"/>
    <cellStyle name="40% - Accent6 9 4 3" xfId="22536"/>
    <cellStyle name="40% - Accent6 9 5" xfId="5232"/>
    <cellStyle name="40% - Accent6 9 5 2" xfId="17107"/>
    <cellStyle name="40% - Accent6 9 5 2 2" xfId="30466"/>
    <cellStyle name="40% - Accent6 9 5 3" xfId="22535"/>
    <cellStyle name="40% - Accent6 9 6" xfId="9573"/>
    <cellStyle name="40% - Accent6 9 6 2" xfId="24048"/>
    <cellStyle name="40% - Accent6 9 7" xfId="22539"/>
    <cellStyle name="60% - Accent1" xfId="30" builtinId="32" customBuiltin="1"/>
    <cellStyle name="60% - Accent1 10" xfId="5233"/>
    <cellStyle name="60% - Accent1 10 2" xfId="9575"/>
    <cellStyle name="60% - Accent1 10 3" xfId="22534"/>
    <cellStyle name="60% - Accent1 11" xfId="5234"/>
    <cellStyle name="60% - Accent1 11 2" xfId="9576"/>
    <cellStyle name="60% - Accent1 11 3" xfId="22533"/>
    <cellStyle name="60% - Accent1 12" xfId="5235"/>
    <cellStyle name="60% - Accent1 12 2" xfId="5236"/>
    <cellStyle name="60% - Accent1 12 2 2" xfId="15580"/>
    <cellStyle name="60% - Accent1 12 2 3" xfId="22531"/>
    <cellStyle name="60% - Accent1 12 3" xfId="10474"/>
    <cellStyle name="60% - Accent1 12 4" xfId="22532"/>
    <cellStyle name="60% - Accent1 13" xfId="5237"/>
    <cellStyle name="60% - Accent1 13 2" xfId="11301"/>
    <cellStyle name="60% - Accent1 13 3" xfId="22530"/>
    <cellStyle name="60% - Accent1 14" xfId="5238"/>
    <cellStyle name="60% - Accent1 14 2" xfId="9574"/>
    <cellStyle name="60% - Accent1 14 3" xfId="22529"/>
    <cellStyle name="60% - Accent1 2" xfId="5239"/>
    <cellStyle name="60% - Accent1 2 2" xfId="9577"/>
    <cellStyle name="60% - Accent1 2 3" xfId="22528"/>
    <cellStyle name="60% - Accent1 2 4" xfId="33064"/>
    <cellStyle name="60% - Accent1 3" xfId="5240"/>
    <cellStyle name="60% - Accent1 3 2" xfId="5241"/>
    <cellStyle name="60% - Accent1 3 2 2" xfId="9579"/>
    <cellStyle name="60% - Accent1 3 2 3" xfId="22526"/>
    <cellStyle name="60% - Accent1 3 3" xfId="9578"/>
    <cellStyle name="60% - Accent1 3 4" xfId="22527"/>
    <cellStyle name="60% - Accent1 3 5" xfId="33104"/>
    <cellStyle name="60% - Accent1 4" xfId="5242"/>
    <cellStyle name="60% - Accent1 4 2" xfId="5243"/>
    <cellStyle name="60% - Accent1 4 2 2" xfId="13093"/>
    <cellStyle name="60% - Accent1 4 2 3" xfId="22524"/>
    <cellStyle name="60% - Accent1 4 3" xfId="5244"/>
    <cellStyle name="60% - Accent1 4 3 2" xfId="13092"/>
    <cellStyle name="60% - Accent1 4 3 3" xfId="22523"/>
    <cellStyle name="60% - Accent1 4 4" xfId="9580"/>
    <cellStyle name="60% - Accent1 4 5" xfId="22525"/>
    <cellStyle name="60% - Accent1 5" xfId="5245"/>
    <cellStyle name="60% - Accent1 5 2" xfId="5246"/>
    <cellStyle name="60% - Accent1 5 2 2" xfId="9582"/>
    <cellStyle name="60% - Accent1 5 2 3" xfId="22521"/>
    <cellStyle name="60% - Accent1 5 3" xfId="9581"/>
    <cellStyle name="60% - Accent1 5 4" xfId="22522"/>
    <cellStyle name="60% - Accent1 6" xfId="5247"/>
    <cellStyle name="60% - Accent1 6 2" xfId="9583"/>
    <cellStyle name="60% - Accent1 6 3" xfId="22520"/>
    <cellStyle name="60% - Accent1 7" xfId="5248"/>
    <cellStyle name="60% - Accent1 7 2" xfId="9584"/>
    <cellStyle name="60% - Accent1 7 3" xfId="22519"/>
    <cellStyle name="60% - Accent1 8" xfId="5249"/>
    <cellStyle name="60% - Accent1 8 2" xfId="9585"/>
    <cellStyle name="60% - Accent1 8 3" xfId="22518"/>
    <cellStyle name="60% - Accent1 9" xfId="5250"/>
    <cellStyle name="60% - Accent1 9 2" xfId="9586"/>
    <cellStyle name="60% - Accent1 9 3" xfId="22517"/>
    <cellStyle name="60% - Accent2" xfId="34" builtinId="36" customBuiltin="1"/>
    <cellStyle name="60% - Accent2 10" xfId="5251"/>
    <cellStyle name="60% - Accent2 10 2" xfId="9588"/>
    <cellStyle name="60% - Accent2 10 3" xfId="22516"/>
    <cellStyle name="60% - Accent2 11" xfId="5252"/>
    <cellStyle name="60% - Accent2 11 2" xfId="9589"/>
    <cellStyle name="60% - Accent2 11 3" xfId="22515"/>
    <cellStyle name="60% - Accent2 12" xfId="5253"/>
    <cellStyle name="60% - Accent2 12 2" xfId="5254"/>
    <cellStyle name="60% - Accent2 12 2 2" xfId="15581"/>
    <cellStyle name="60% - Accent2 12 2 3" xfId="22513"/>
    <cellStyle name="60% - Accent2 12 3" xfId="10475"/>
    <cellStyle name="60% - Accent2 12 4" xfId="22514"/>
    <cellStyle name="60% - Accent2 13" xfId="5255"/>
    <cellStyle name="60% - Accent2 13 2" xfId="11302"/>
    <cellStyle name="60% - Accent2 13 3" xfId="22512"/>
    <cellStyle name="60% - Accent2 14" xfId="5256"/>
    <cellStyle name="60% - Accent2 14 2" xfId="9587"/>
    <cellStyle name="60% - Accent2 14 3" xfId="22511"/>
    <cellStyle name="60% - Accent2 2" xfId="5257"/>
    <cellStyle name="60% - Accent2 2 2" xfId="9590"/>
    <cellStyle name="60% - Accent2 2 3" xfId="22510"/>
    <cellStyle name="60% - Accent2 2 4" xfId="33068"/>
    <cellStyle name="60% - Accent2 3" xfId="5258"/>
    <cellStyle name="60% - Accent2 3 2" xfId="5259"/>
    <cellStyle name="60% - Accent2 3 2 2" xfId="9592"/>
    <cellStyle name="60% - Accent2 3 2 3" xfId="22508"/>
    <cellStyle name="60% - Accent2 3 3" xfId="9591"/>
    <cellStyle name="60% - Accent2 3 4" xfId="22509"/>
    <cellStyle name="60% - Accent2 3 5" xfId="33105"/>
    <cellStyle name="60% - Accent2 4" xfId="5260"/>
    <cellStyle name="60% - Accent2 4 2" xfId="5261"/>
    <cellStyle name="60% - Accent2 4 2 2" xfId="13095"/>
    <cellStyle name="60% - Accent2 4 2 3" xfId="22506"/>
    <cellStyle name="60% - Accent2 4 3" xfId="5262"/>
    <cellStyle name="60% - Accent2 4 3 2" xfId="13094"/>
    <cellStyle name="60% - Accent2 4 3 3" xfId="22505"/>
    <cellStyle name="60% - Accent2 4 4" xfId="9593"/>
    <cellStyle name="60% - Accent2 4 5" xfId="22507"/>
    <cellStyle name="60% - Accent2 5" xfId="5263"/>
    <cellStyle name="60% - Accent2 5 2" xfId="5264"/>
    <cellStyle name="60% - Accent2 5 2 2" xfId="9595"/>
    <cellStyle name="60% - Accent2 5 2 3" xfId="22503"/>
    <cellStyle name="60% - Accent2 5 3" xfId="9594"/>
    <cellStyle name="60% - Accent2 5 4" xfId="22504"/>
    <cellStyle name="60% - Accent2 6" xfId="5265"/>
    <cellStyle name="60% - Accent2 6 2" xfId="9596"/>
    <cellStyle name="60% - Accent2 6 3" xfId="22502"/>
    <cellStyle name="60% - Accent2 7" xfId="5266"/>
    <cellStyle name="60% - Accent2 7 2" xfId="9597"/>
    <cellStyle name="60% - Accent2 7 3" xfId="22501"/>
    <cellStyle name="60% - Accent2 8" xfId="5267"/>
    <cellStyle name="60% - Accent2 8 2" xfId="9598"/>
    <cellStyle name="60% - Accent2 8 3" xfId="22500"/>
    <cellStyle name="60% - Accent2 9" xfId="5268"/>
    <cellStyle name="60% - Accent2 9 2" xfId="9599"/>
    <cellStyle name="60% - Accent2 9 3" xfId="22499"/>
    <cellStyle name="60% - Accent3" xfId="38" builtinId="40" customBuiltin="1"/>
    <cellStyle name="60% - Accent3 10" xfId="5269"/>
    <cellStyle name="60% - Accent3 10 2" xfId="9601"/>
    <cellStyle name="60% - Accent3 10 3" xfId="22498"/>
    <cellStyle name="60% - Accent3 11" xfId="5270"/>
    <cellStyle name="60% - Accent3 11 2" xfId="9602"/>
    <cellStyle name="60% - Accent3 11 3" xfId="22497"/>
    <cellStyle name="60% - Accent3 12" xfId="5271"/>
    <cellStyle name="60% - Accent3 12 2" xfId="5272"/>
    <cellStyle name="60% - Accent3 12 2 2" xfId="15582"/>
    <cellStyle name="60% - Accent3 12 2 3" xfId="22495"/>
    <cellStyle name="60% - Accent3 12 3" xfId="10476"/>
    <cellStyle name="60% - Accent3 12 4" xfId="22496"/>
    <cellStyle name="60% - Accent3 13" xfId="5273"/>
    <cellStyle name="60% - Accent3 13 2" xfId="11303"/>
    <cellStyle name="60% - Accent3 13 3" xfId="22494"/>
    <cellStyle name="60% - Accent3 14" xfId="5274"/>
    <cellStyle name="60% - Accent3 14 2" xfId="9600"/>
    <cellStyle name="60% - Accent3 14 3" xfId="22493"/>
    <cellStyle name="60% - Accent3 2" xfId="5275"/>
    <cellStyle name="60% - Accent3 2 2" xfId="9603"/>
    <cellStyle name="60% - Accent3 2 3" xfId="22492"/>
    <cellStyle name="60% - Accent3 2 4" xfId="33072"/>
    <cellStyle name="60% - Accent3 3" xfId="5276"/>
    <cellStyle name="60% - Accent3 3 2" xfId="5277"/>
    <cellStyle name="60% - Accent3 3 2 2" xfId="9605"/>
    <cellStyle name="60% - Accent3 3 2 3" xfId="22490"/>
    <cellStyle name="60% - Accent3 3 3" xfId="9604"/>
    <cellStyle name="60% - Accent3 3 4" xfId="22491"/>
    <cellStyle name="60% - Accent3 3 5" xfId="33106"/>
    <cellStyle name="60% - Accent3 4" xfId="5278"/>
    <cellStyle name="60% - Accent3 4 2" xfId="5279"/>
    <cellStyle name="60% - Accent3 4 2 2" xfId="13097"/>
    <cellStyle name="60% - Accent3 4 2 3" xfId="22488"/>
    <cellStyle name="60% - Accent3 4 3" xfId="5280"/>
    <cellStyle name="60% - Accent3 4 3 2" xfId="13096"/>
    <cellStyle name="60% - Accent3 4 3 3" xfId="22487"/>
    <cellStyle name="60% - Accent3 4 4" xfId="9606"/>
    <cellStyle name="60% - Accent3 4 5" xfId="22489"/>
    <cellStyle name="60% - Accent3 5" xfId="5281"/>
    <cellStyle name="60% - Accent3 5 2" xfId="5282"/>
    <cellStyle name="60% - Accent3 5 2 2" xfId="9608"/>
    <cellStyle name="60% - Accent3 5 2 3" xfId="22485"/>
    <cellStyle name="60% - Accent3 5 3" xfId="9607"/>
    <cellStyle name="60% - Accent3 5 4" xfId="22486"/>
    <cellStyle name="60% - Accent3 6" xfId="5283"/>
    <cellStyle name="60% - Accent3 6 2" xfId="9609"/>
    <cellStyle name="60% - Accent3 6 3" xfId="22484"/>
    <cellStyle name="60% - Accent3 7" xfId="5284"/>
    <cellStyle name="60% - Accent3 7 2" xfId="9610"/>
    <cellStyle name="60% - Accent3 7 3" xfId="22483"/>
    <cellStyle name="60% - Accent3 8" xfId="5285"/>
    <cellStyle name="60% - Accent3 8 2" xfId="9611"/>
    <cellStyle name="60% - Accent3 8 3" xfId="22482"/>
    <cellStyle name="60% - Accent3 9" xfId="5286"/>
    <cellStyle name="60% - Accent3 9 2" xfId="9612"/>
    <cellStyle name="60% - Accent3 9 3" xfId="22481"/>
    <cellStyle name="60% - Accent4" xfId="42" builtinId="44" customBuiltin="1"/>
    <cellStyle name="60% - Accent4 10" xfId="5287"/>
    <cellStyle name="60% - Accent4 10 2" xfId="9614"/>
    <cellStyle name="60% - Accent4 10 3" xfId="22480"/>
    <cellStyle name="60% - Accent4 11" xfId="5288"/>
    <cellStyle name="60% - Accent4 11 2" xfId="9615"/>
    <cellStyle name="60% - Accent4 11 3" xfId="22479"/>
    <cellStyle name="60% - Accent4 12" xfId="5289"/>
    <cellStyle name="60% - Accent4 12 2" xfId="5290"/>
    <cellStyle name="60% - Accent4 12 2 2" xfId="15583"/>
    <cellStyle name="60% - Accent4 12 2 3" xfId="22477"/>
    <cellStyle name="60% - Accent4 12 3" xfId="10477"/>
    <cellStyle name="60% - Accent4 12 4" xfId="22478"/>
    <cellStyle name="60% - Accent4 13" xfId="5291"/>
    <cellStyle name="60% - Accent4 13 2" xfId="11304"/>
    <cellStyle name="60% - Accent4 13 3" xfId="22476"/>
    <cellStyle name="60% - Accent4 14" xfId="5292"/>
    <cellStyle name="60% - Accent4 14 2" xfId="9613"/>
    <cellStyle name="60% - Accent4 14 3" xfId="22475"/>
    <cellStyle name="60% - Accent4 2" xfId="5293"/>
    <cellStyle name="60% - Accent4 2 2" xfId="9616"/>
    <cellStyle name="60% - Accent4 2 3" xfId="22474"/>
    <cellStyle name="60% - Accent4 2 4" xfId="33076"/>
    <cellStyle name="60% - Accent4 3" xfId="5294"/>
    <cellStyle name="60% - Accent4 3 2" xfId="5295"/>
    <cellStyle name="60% - Accent4 3 2 2" xfId="9618"/>
    <cellStyle name="60% - Accent4 3 2 3" xfId="22472"/>
    <cellStyle name="60% - Accent4 3 3" xfId="9617"/>
    <cellStyle name="60% - Accent4 3 4" xfId="22473"/>
    <cellStyle name="60% - Accent4 3 5" xfId="33107"/>
    <cellStyle name="60% - Accent4 4" xfId="5296"/>
    <cellStyle name="60% - Accent4 4 2" xfId="5297"/>
    <cellStyle name="60% - Accent4 4 2 2" xfId="13099"/>
    <cellStyle name="60% - Accent4 4 2 3" xfId="22470"/>
    <cellStyle name="60% - Accent4 4 3" xfId="5298"/>
    <cellStyle name="60% - Accent4 4 3 2" xfId="13098"/>
    <cellStyle name="60% - Accent4 4 3 3" xfId="22469"/>
    <cellStyle name="60% - Accent4 4 4" xfId="9619"/>
    <cellStyle name="60% - Accent4 4 5" xfId="22471"/>
    <cellStyle name="60% - Accent4 5" xfId="5299"/>
    <cellStyle name="60% - Accent4 5 2" xfId="5300"/>
    <cellStyle name="60% - Accent4 5 2 2" xfId="9621"/>
    <cellStyle name="60% - Accent4 5 2 3" xfId="22467"/>
    <cellStyle name="60% - Accent4 5 3" xfId="9620"/>
    <cellStyle name="60% - Accent4 5 4" xfId="22468"/>
    <cellStyle name="60% - Accent4 6" xfId="5301"/>
    <cellStyle name="60% - Accent4 6 2" xfId="9622"/>
    <cellStyle name="60% - Accent4 6 3" xfId="22466"/>
    <cellStyle name="60% - Accent4 7" xfId="5302"/>
    <cellStyle name="60% - Accent4 7 2" xfId="9623"/>
    <cellStyle name="60% - Accent4 7 3" xfId="22465"/>
    <cellStyle name="60% - Accent4 8" xfId="5303"/>
    <cellStyle name="60% - Accent4 8 2" xfId="9624"/>
    <cellStyle name="60% - Accent4 8 3" xfId="22464"/>
    <cellStyle name="60% - Accent4 9" xfId="5304"/>
    <cellStyle name="60% - Accent4 9 2" xfId="9625"/>
    <cellStyle name="60% - Accent4 9 3" xfId="22463"/>
    <cellStyle name="60% - Accent5" xfId="45" builtinId="48" customBuiltin="1"/>
    <cellStyle name="60% - Accent5 10" xfId="5305"/>
    <cellStyle name="60% - Accent5 10 2" xfId="9627"/>
    <cellStyle name="60% - Accent5 10 3" xfId="22462"/>
    <cellStyle name="60% - Accent5 11" xfId="5306"/>
    <cellStyle name="60% - Accent5 11 2" xfId="9628"/>
    <cellStyle name="60% - Accent5 11 3" xfId="22461"/>
    <cellStyle name="60% - Accent5 12" xfId="5307"/>
    <cellStyle name="60% - Accent5 12 2" xfId="5308"/>
    <cellStyle name="60% - Accent5 12 2 2" xfId="15584"/>
    <cellStyle name="60% - Accent5 12 2 3" xfId="22459"/>
    <cellStyle name="60% - Accent5 12 3" xfId="10478"/>
    <cellStyle name="60% - Accent5 12 4" xfId="22460"/>
    <cellStyle name="60% - Accent5 13" xfId="5309"/>
    <cellStyle name="60% - Accent5 13 2" xfId="11305"/>
    <cellStyle name="60% - Accent5 13 3" xfId="22458"/>
    <cellStyle name="60% - Accent5 14" xfId="5310"/>
    <cellStyle name="60% - Accent5 14 2" xfId="9626"/>
    <cellStyle name="60% - Accent5 14 3" xfId="22457"/>
    <cellStyle name="60% - Accent5 2" xfId="5311"/>
    <cellStyle name="60% - Accent5 2 2" xfId="9629"/>
    <cellStyle name="60% - Accent5 2 3" xfId="22456"/>
    <cellStyle name="60% - Accent5 2 4" xfId="33080"/>
    <cellStyle name="60% - Accent5 3" xfId="5312"/>
    <cellStyle name="60% - Accent5 3 2" xfId="5313"/>
    <cellStyle name="60% - Accent5 3 2 2" xfId="9631"/>
    <cellStyle name="60% - Accent5 3 2 3" xfId="22454"/>
    <cellStyle name="60% - Accent5 3 3" xfId="9630"/>
    <cellStyle name="60% - Accent5 3 4" xfId="22455"/>
    <cellStyle name="60% - Accent5 3 5" xfId="33108"/>
    <cellStyle name="60% - Accent5 4" xfId="5314"/>
    <cellStyle name="60% - Accent5 4 2" xfId="5315"/>
    <cellStyle name="60% - Accent5 4 2 2" xfId="13101"/>
    <cellStyle name="60% - Accent5 4 2 3" xfId="22452"/>
    <cellStyle name="60% - Accent5 4 3" xfId="5316"/>
    <cellStyle name="60% - Accent5 4 3 2" xfId="13100"/>
    <cellStyle name="60% - Accent5 4 3 3" xfId="22451"/>
    <cellStyle name="60% - Accent5 4 4" xfId="9632"/>
    <cellStyle name="60% - Accent5 4 5" xfId="22453"/>
    <cellStyle name="60% - Accent5 5" xfId="5317"/>
    <cellStyle name="60% - Accent5 5 2" xfId="5318"/>
    <cellStyle name="60% - Accent5 5 2 2" xfId="9634"/>
    <cellStyle name="60% - Accent5 5 2 3" xfId="22449"/>
    <cellStyle name="60% - Accent5 5 3" xfId="9633"/>
    <cellStyle name="60% - Accent5 5 4" xfId="22450"/>
    <cellStyle name="60% - Accent5 6" xfId="5319"/>
    <cellStyle name="60% - Accent5 6 2" xfId="9635"/>
    <cellStyle name="60% - Accent5 6 3" xfId="22448"/>
    <cellStyle name="60% - Accent5 7" xfId="5320"/>
    <cellStyle name="60% - Accent5 7 2" xfId="9636"/>
    <cellStyle name="60% - Accent5 7 3" xfId="22447"/>
    <cellStyle name="60% - Accent5 8" xfId="5321"/>
    <cellStyle name="60% - Accent5 8 2" xfId="9637"/>
    <cellStyle name="60% - Accent5 8 3" xfId="22446"/>
    <cellStyle name="60% - Accent5 9" xfId="5322"/>
    <cellStyle name="60% - Accent5 9 2" xfId="9638"/>
    <cellStyle name="60% - Accent5 9 3" xfId="22445"/>
    <cellStyle name="60% - Accent6" xfId="49" builtinId="52" customBuiltin="1"/>
    <cellStyle name="60% - Accent6 10" xfId="5323"/>
    <cellStyle name="60% - Accent6 10 2" xfId="9640"/>
    <cellStyle name="60% - Accent6 10 3" xfId="22444"/>
    <cellStyle name="60% - Accent6 11" xfId="5324"/>
    <cellStyle name="60% - Accent6 11 2" xfId="9641"/>
    <cellStyle name="60% - Accent6 11 3" xfId="22443"/>
    <cellStyle name="60% - Accent6 12" xfId="5325"/>
    <cellStyle name="60% - Accent6 12 2" xfId="5326"/>
    <cellStyle name="60% - Accent6 12 2 2" xfId="15585"/>
    <cellStyle name="60% - Accent6 12 2 3" xfId="22441"/>
    <cellStyle name="60% - Accent6 12 3" xfId="10479"/>
    <cellStyle name="60% - Accent6 12 4" xfId="22442"/>
    <cellStyle name="60% - Accent6 13" xfId="5327"/>
    <cellStyle name="60% - Accent6 13 2" xfId="11306"/>
    <cellStyle name="60% - Accent6 13 3" xfId="22440"/>
    <cellStyle name="60% - Accent6 14" xfId="5328"/>
    <cellStyle name="60% - Accent6 14 2" xfId="9639"/>
    <cellStyle name="60% - Accent6 14 3" xfId="22439"/>
    <cellStyle name="60% - Accent6 2" xfId="5329"/>
    <cellStyle name="60% - Accent6 2 2" xfId="9642"/>
    <cellStyle name="60% - Accent6 2 3" xfId="22438"/>
    <cellStyle name="60% - Accent6 2 4" xfId="33084"/>
    <cellStyle name="60% - Accent6 3" xfId="5330"/>
    <cellStyle name="60% - Accent6 3 2" xfId="5331"/>
    <cellStyle name="60% - Accent6 3 2 2" xfId="9644"/>
    <cellStyle name="60% - Accent6 3 2 3" xfId="22436"/>
    <cellStyle name="60% - Accent6 3 3" xfId="9643"/>
    <cellStyle name="60% - Accent6 3 4" xfId="22437"/>
    <cellStyle name="60% - Accent6 3 5" xfId="33109"/>
    <cellStyle name="60% - Accent6 4" xfId="5332"/>
    <cellStyle name="60% - Accent6 4 2" xfId="5333"/>
    <cellStyle name="60% - Accent6 4 2 2" xfId="13103"/>
    <cellStyle name="60% - Accent6 4 2 3" xfId="22434"/>
    <cellStyle name="60% - Accent6 4 3" xfId="5334"/>
    <cellStyle name="60% - Accent6 4 3 2" xfId="13102"/>
    <cellStyle name="60% - Accent6 4 3 3" xfId="22433"/>
    <cellStyle name="60% - Accent6 4 4" xfId="9645"/>
    <cellStyle name="60% - Accent6 4 5" xfId="22435"/>
    <cellStyle name="60% - Accent6 5" xfId="5335"/>
    <cellStyle name="60% - Accent6 5 2" xfId="5336"/>
    <cellStyle name="60% - Accent6 5 2 2" xfId="9647"/>
    <cellStyle name="60% - Accent6 5 2 3" xfId="22431"/>
    <cellStyle name="60% - Accent6 5 3" xfId="9646"/>
    <cellStyle name="60% - Accent6 5 4" xfId="22432"/>
    <cellStyle name="60% - Accent6 6" xfId="5337"/>
    <cellStyle name="60% - Accent6 6 2" xfId="9648"/>
    <cellStyle name="60% - Accent6 6 3" xfId="22430"/>
    <cellStyle name="60% - Accent6 7" xfId="5338"/>
    <cellStyle name="60% - Accent6 7 2" xfId="9649"/>
    <cellStyle name="60% - Accent6 7 3" xfId="22429"/>
    <cellStyle name="60% - Accent6 8" xfId="5339"/>
    <cellStyle name="60% - Accent6 8 2" xfId="9650"/>
    <cellStyle name="60% - Accent6 8 3" xfId="22428"/>
    <cellStyle name="60% - Accent6 9" xfId="5340"/>
    <cellStyle name="60% - Accent6 9 2" xfId="9651"/>
    <cellStyle name="60% - Accent6 9 3" xfId="22427"/>
    <cellStyle name="Accent1" xfId="27" builtinId="29" customBuiltin="1"/>
    <cellStyle name="Accent1 10" xfId="5341"/>
    <cellStyle name="Accent1 10 2" xfId="9653"/>
    <cellStyle name="Accent1 10 3" xfId="22426"/>
    <cellStyle name="Accent1 11" xfId="5342"/>
    <cellStyle name="Accent1 11 2" xfId="9654"/>
    <cellStyle name="Accent1 11 3" xfId="22425"/>
    <cellStyle name="Accent1 12" xfId="5343"/>
    <cellStyle name="Accent1 12 2" xfId="5344"/>
    <cellStyle name="Accent1 12 2 2" xfId="15586"/>
    <cellStyle name="Accent1 12 2 3" xfId="22423"/>
    <cellStyle name="Accent1 12 3" xfId="10480"/>
    <cellStyle name="Accent1 12 4" xfId="22424"/>
    <cellStyle name="Accent1 13" xfId="5345"/>
    <cellStyle name="Accent1 13 2" xfId="11307"/>
    <cellStyle name="Accent1 13 3" xfId="22422"/>
    <cellStyle name="Accent1 14" xfId="5346"/>
    <cellStyle name="Accent1 14 2" xfId="9652"/>
    <cellStyle name="Accent1 14 3" xfId="22421"/>
    <cellStyle name="Accent1 2" xfId="5347"/>
    <cellStyle name="Accent1 2 2" xfId="9655"/>
    <cellStyle name="Accent1 2 3" xfId="22420"/>
    <cellStyle name="Accent1 2 4" xfId="33061"/>
    <cellStyle name="Accent1 3" xfId="5348"/>
    <cellStyle name="Accent1 3 2" xfId="5349"/>
    <cellStyle name="Accent1 3 2 2" xfId="9657"/>
    <cellStyle name="Accent1 3 2 3" xfId="22418"/>
    <cellStyle name="Accent1 3 3" xfId="9656"/>
    <cellStyle name="Accent1 3 4" xfId="22419"/>
    <cellStyle name="Accent1 4" xfId="5350"/>
    <cellStyle name="Accent1 4 2" xfId="5351"/>
    <cellStyle name="Accent1 4 2 2" xfId="13105"/>
    <cellStyle name="Accent1 4 2 3" xfId="22416"/>
    <cellStyle name="Accent1 4 3" xfId="5352"/>
    <cellStyle name="Accent1 4 3 2" xfId="13104"/>
    <cellStyle name="Accent1 4 3 3" xfId="22415"/>
    <cellStyle name="Accent1 4 4" xfId="9658"/>
    <cellStyle name="Accent1 4 5" xfId="22417"/>
    <cellStyle name="Accent1 5" xfId="5353"/>
    <cellStyle name="Accent1 5 2" xfId="5354"/>
    <cellStyle name="Accent1 5 2 2" xfId="9660"/>
    <cellStyle name="Accent1 5 2 3" xfId="22413"/>
    <cellStyle name="Accent1 5 3" xfId="9659"/>
    <cellStyle name="Accent1 5 4" xfId="22414"/>
    <cellStyle name="Accent1 6" xfId="5355"/>
    <cellStyle name="Accent1 6 2" xfId="9661"/>
    <cellStyle name="Accent1 6 3" xfId="22412"/>
    <cellStyle name="Accent1 7" xfId="5356"/>
    <cellStyle name="Accent1 7 2" xfId="9662"/>
    <cellStyle name="Accent1 7 3" xfId="22411"/>
    <cellStyle name="Accent1 8" xfId="5357"/>
    <cellStyle name="Accent1 8 2" xfId="9663"/>
    <cellStyle name="Accent1 8 3" xfId="22410"/>
    <cellStyle name="Accent1 9" xfId="5358"/>
    <cellStyle name="Accent1 9 2" xfId="9664"/>
    <cellStyle name="Accent1 9 3" xfId="22409"/>
    <cellStyle name="Accent2" xfId="31" builtinId="33" customBuiltin="1"/>
    <cellStyle name="Accent2 10" xfId="5359"/>
    <cellStyle name="Accent2 10 2" xfId="9666"/>
    <cellStyle name="Accent2 10 3" xfId="22408"/>
    <cellStyle name="Accent2 11" xfId="5360"/>
    <cellStyle name="Accent2 11 2" xfId="9667"/>
    <cellStyle name="Accent2 11 3" xfId="22407"/>
    <cellStyle name="Accent2 12" xfId="5361"/>
    <cellStyle name="Accent2 12 2" xfId="5362"/>
    <cellStyle name="Accent2 12 2 2" xfId="15587"/>
    <cellStyle name="Accent2 12 2 3" xfId="22405"/>
    <cellStyle name="Accent2 12 3" xfId="10481"/>
    <cellStyle name="Accent2 12 4" xfId="22406"/>
    <cellStyle name="Accent2 13" xfId="5363"/>
    <cellStyle name="Accent2 13 2" xfId="11308"/>
    <cellStyle name="Accent2 13 3" xfId="22404"/>
    <cellStyle name="Accent2 14" xfId="5364"/>
    <cellStyle name="Accent2 14 2" xfId="9665"/>
    <cellStyle name="Accent2 14 3" xfId="22403"/>
    <cellStyle name="Accent2 2" xfId="5365"/>
    <cellStyle name="Accent2 2 2" xfId="9668"/>
    <cellStyle name="Accent2 2 3" xfId="22402"/>
    <cellStyle name="Accent2 2 4" xfId="33065"/>
    <cellStyle name="Accent2 3" xfId="5366"/>
    <cellStyle name="Accent2 3 2" xfId="5367"/>
    <cellStyle name="Accent2 3 2 2" xfId="9670"/>
    <cellStyle name="Accent2 3 2 3" xfId="22400"/>
    <cellStyle name="Accent2 3 3" xfId="9669"/>
    <cellStyle name="Accent2 3 4" xfId="22401"/>
    <cellStyle name="Accent2 4" xfId="5368"/>
    <cellStyle name="Accent2 4 2" xfId="5369"/>
    <cellStyle name="Accent2 4 2 2" xfId="13107"/>
    <cellStyle name="Accent2 4 2 3" xfId="22398"/>
    <cellStyle name="Accent2 4 3" xfId="5370"/>
    <cellStyle name="Accent2 4 3 2" xfId="13106"/>
    <cellStyle name="Accent2 4 3 3" xfId="22397"/>
    <cellStyle name="Accent2 4 4" xfId="9671"/>
    <cellStyle name="Accent2 4 5" xfId="22399"/>
    <cellStyle name="Accent2 5" xfId="5371"/>
    <cellStyle name="Accent2 5 2" xfId="5372"/>
    <cellStyle name="Accent2 5 2 2" xfId="9673"/>
    <cellStyle name="Accent2 5 2 3" xfId="22395"/>
    <cellStyle name="Accent2 5 3" xfId="9672"/>
    <cellStyle name="Accent2 5 4" xfId="22396"/>
    <cellStyle name="Accent2 6" xfId="5373"/>
    <cellStyle name="Accent2 6 2" xfId="9674"/>
    <cellStyle name="Accent2 6 3" xfId="22394"/>
    <cellStyle name="Accent2 7" xfId="5374"/>
    <cellStyle name="Accent2 7 2" xfId="9675"/>
    <cellStyle name="Accent2 7 3" xfId="22393"/>
    <cellStyle name="Accent2 8" xfId="5375"/>
    <cellStyle name="Accent2 8 2" xfId="9676"/>
    <cellStyle name="Accent2 8 3" xfId="22392"/>
    <cellStyle name="Accent2 9" xfId="5376"/>
    <cellStyle name="Accent2 9 2" xfId="9677"/>
    <cellStyle name="Accent2 9 3" xfId="22391"/>
    <cellStyle name="Accent3" xfId="35" builtinId="37" customBuiltin="1"/>
    <cellStyle name="Accent3 10" xfId="5377"/>
    <cellStyle name="Accent3 10 2" xfId="9679"/>
    <cellStyle name="Accent3 10 3" xfId="22390"/>
    <cellStyle name="Accent3 11" xfId="5378"/>
    <cellStyle name="Accent3 11 2" xfId="9680"/>
    <cellStyle name="Accent3 11 3" xfId="22389"/>
    <cellStyle name="Accent3 12" xfId="5379"/>
    <cellStyle name="Accent3 12 2" xfId="5380"/>
    <cellStyle name="Accent3 12 2 2" xfId="15588"/>
    <cellStyle name="Accent3 12 2 3" xfId="22387"/>
    <cellStyle name="Accent3 12 3" xfId="10482"/>
    <cellStyle name="Accent3 12 4" xfId="22388"/>
    <cellStyle name="Accent3 13" xfId="5381"/>
    <cellStyle name="Accent3 13 2" xfId="11309"/>
    <cellStyle name="Accent3 13 3" xfId="22386"/>
    <cellStyle name="Accent3 14" xfId="5382"/>
    <cellStyle name="Accent3 14 2" xfId="9678"/>
    <cellStyle name="Accent3 14 3" xfId="22385"/>
    <cellStyle name="Accent3 2" xfId="5383"/>
    <cellStyle name="Accent3 2 2" xfId="9681"/>
    <cellStyle name="Accent3 2 3" xfId="22384"/>
    <cellStyle name="Accent3 2 4" xfId="33069"/>
    <cellStyle name="Accent3 3" xfId="5384"/>
    <cellStyle name="Accent3 3 2" xfId="5385"/>
    <cellStyle name="Accent3 3 2 2" xfId="9683"/>
    <cellStyle name="Accent3 3 2 3" xfId="22382"/>
    <cellStyle name="Accent3 3 3" xfId="9682"/>
    <cellStyle name="Accent3 3 4" xfId="22383"/>
    <cellStyle name="Accent3 4" xfId="5386"/>
    <cellStyle name="Accent3 4 2" xfId="5387"/>
    <cellStyle name="Accent3 4 2 2" xfId="13109"/>
    <cellStyle name="Accent3 4 2 3" xfId="22380"/>
    <cellStyle name="Accent3 4 3" xfId="5388"/>
    <cellStyle name="Accent3 4 3 2" xfId="13108"/>
    <cellStyle name="Accent3 4 3 3" xfId="22379"/>
    <cellStyle name="Accent3 4 4" xfId="9684"/>
    <cellStyle name="Accent3 4 5" xfId="22381"/>
    <cellStyle name="Accent3 5" xfId="5389"/>
    <cellStyle name="Accent3 5 2" xfId="5390"/>
    <cellStyle name="Accent3 5 2 2" xfId="9686"/>
    <cellStyle name="Accent3 5 2 3" xfId="22377"/>
    <cellStyle name="Accent3 5 3" xfId="9685"/>
    <cellStyle name="Accent3 5 4" xfId="22378"/>
    <cellStyle name="Accent3 6" xfId="5391"/>
    <cellStyle name="Accent3 6 2" xfId="9687"/>
    <cellStyle name="Accent3 6 3" xfId="22376"/>
    <cellStyle name="Accent3 7" xfId="5392"/>
    <cellStyle name="Accent3 7 2" xfId="9688"/>
    <cellStyle name="Accent3 7 3" xfId="22375"/>
    <cellStyle name="Accent3 8" xfId="5393"/>
    <cellStyle name="Accent3 8 2" xfId="9689"/>
    <cellStyle name="Accent3 8 3" xfId="22374"/>
    <cellStyle name="Accent3 9" xfId="5394"/>
    <cellStyle name="Accent3 9 2" xfId="9690"/>
    <cellStyle name="Accent3 9 3" xfId="22373"/>
    <cellStyle name="Accent4" xfId="39" builtinId="41" customBuiltin="1"/>
    <cellStyle name="Accent4 10" xfId="5395"/>
    <cellStyle name="Accent4 10 2" xfId="9692"/>
    <cellStyle name="Accent4 10 3" xfId="22372"/>
    <cellStyle name="Accent4 11" xfId="5396"/>
    <cellStyle name="Accent4 11 2" xfId="9693"/>
    <cellStyle name="Accent4 11 3" xfId="22371"/>
    <cellStyle name="Accent4 12" xfId="5397"/>
    <cellStyle name="Accent4 12 2" xfId="5398"/>
    <cellStyle name="Accent4 12 2 2" xfId="15589"/>
    <cellStyle name="Accent4 12 2 3" xfId="22369"/>
    <cellStyle name="Accent4 12 3" xfId="10483"/>
    <cellStyle name="Accent4 12 4" xfId="22370"/>
    <cellStyle name="Accent4 13" xfId="5399"/>
    <cellStyle name="Accent4 13 2" xfId="11310"/>
    <cellStyle name="Accent4 13 3" xfId="22368"/>
    <cellStyle name="Accent4 14" xfId="5400"/>
    <cellStyle name="Accent4 14 2" xfId="9691"/>
    <cellStyle name="Accent4 14 3" xfId="22367"/>
    <cellStyle name="Accent4 2" xfId="5401"/>
    <cellStyle name="Accent4 2 2" xfId="9694"/>
    <cellStyle name="Accent4 2 3" xfId="22366"/>
    <cellStyle name="Accent4 2 4" xfId="33073"/>
    <cellStyle name="Accent4 3" xfId="5402"/>
    <cellStyle name="Accent4 3 2" xfId="5403"/>
    <cellStyle name="Accent4 3 2 2" xfId="9696"/>
    <cellStyle name="Accent4 3 2 3" xfId="22364"/>
    <cellStyle name="Accent4 3 3" xfId="9695"/>
    <cellStyle name="Accent4 3 4" xfId="22365"/>
    <cellStyle name="Accent4 4" xfId="5404"/>
    <cellStyle name="Accent4 4 2" xfId="5405"/>
    <cellStyle name="Accent4 4 2 2" xfId="13111"/>
    <cellStyle name="Accent4 4 2 3" xfId="22362"/>
    <cellStyle name="Accent4 4 3" xfId="5406"/>
    <cellStyle name="Accent4 4 3 2" xfId="13110"/>
    <cellStyle name="Accent4 4 3 3" xfId="22361"/>
    <cellStyle name="Accent4 4 4" xfId="9697"/>
    <cellStyle name="Accent4 4 5" xfId="22363"/>
    <cellStyle name="Accent4 5" xfId="5407"/>
    <cellStyle name="Accent4 5 2" xfId="5408"/>
    <cellStyle name="Accent4 5 2 2" xfId="9699"/>
    <cellStyle name="Accent4 5 2 3" xfId="22359"/>
    <cellStyle name="Accent4 5 3" xfId="9698"/>
    <cellStyle name="Accent4 5 4" xfId="22360"/>
    <cellStyle name="Accent4 6" xfId="5409"/>
    <cellStyle name="Accent4 6 2" xfId="9700"/>
    <cellStyle name="Accent4 6 3" xfId="22358"/>
    <cellStyle name="Accent4 7" xfId="5410"/>
    <cellStyle name="Accent4 7 2" xfId="9701"/>
    <cellStyle name="Accent4 7 3" xfId="22357"/>
    <cellStyle name="Accent4 8" xfId="5411"/>
    <cellStyle name="Accent4 8 2" xfId="9702"/>
    <cellStyle name="Accent4 8 3" xfId="22356"/>
    <cellStyle name="Accent4 9" xfId="5412"/>
    <cellStyle name="Accent4 9 2" xfId="9703"/>
    <cellStyle name="Accent4 9 3" xfId="22355"/>
    <cellStyle name="Accent5" xfId="33037" builtinId="45" customBuiltin="1"/>
    <cellStyle name="Accent5 2" xfId="8817"/>
    <cellStyle name="Accent5 2 2" xfId="33077"/>
    <cellStyle name="Accent5 3" xfId="22354"/>
    <cellStyle name="Accent5 4" xfId="5413"/>
    <cellStyle name="Accent6" xfId="46" builtinId="49" customBuiltin="1"/>
    <cellStyle name="Accent6 10" xfId="5414"/>
    <cellStyle name="Accent6 10 2" xfId="9705"/>
    <cellStyle name="Accent6 10 3" xfId="22353"/>
    <cellStyle name="Accent6 11" xfId="5415"/>
    <cellStyle name="Accent6 11 2" xfId="9706"/>
    <cellStyle name="Accent6 11 3" xfId="22352"/>
    <cellStyle name="Accent6 12" xfId="5416"/>
    <cellStyle name="Accent6 12 2" xfId="5417"/>
    <cellStyle name="Accent6 12 2 2" xfId="15590"/>
    <cellStyle name="Accent6 12 2 3" xfId="22350"/>
    <cellStyle name="Accent6 12 3" xfId="10484"/>
    <cellStyle name="Accent6 12 4" xfId="22351"/>
    <cellStyle name="Accent6 13" xfId="5418"/>
    <cellStyle name="Accent6 13 2" xfId="11311"/>
    <cellStyle name="Accent6 13 3" xfId="22349"/>
    <cellStyle name="Accent6 14" xfId="5419"/>
    <cellStyle name="Accent6 14 2" xfId="9704"/>
    <cellStyle name="Accent6 14 3" xfId="22348"/>
    <cellStyle name="Accent6 2" xfId="5420"/>
    <cellStyle name="Accent6 2 2" xfId="9707"/>
    <cellStyle name="Accent6 2 3" xfId="22347"/>
    <cellStyle name="Accent6 2 4" xfId="33081"/>
    <cellStyle name="Accent6 3" xfId="5421"/>
    <cellStyle name="Accent6 3 2" xfId="5422"/>
    <cellStyle name="Accent6 3 2 2" xfId="9709"/>
    <cellStyle name="Accent6 3 2 3" xfId="22345"/>
    <cellStyle name="Accent6 3 3" xfId="9708"/>
    <cellStyle name="Accent6 3 4" xfId="22346"/>
    <cellStyle name="Accent6 4" xfId="5423"/>
    <cellStyle name="Accent6 4 2" xfId="5424"/>
    <cellStyle name="Accent6 4 2 2" xfId="13113"/>
    <cellStyle name="Accent6 4 2 3" xfId="22343"/>
    <cellStyle name="Accent6 4 3" xfId="5425"/>
    <cellStyle name="Accent6 4 3 2" xfId="13112"/>
    <cellStyle name="Accent6 4 3 3" xfId="22342"/>
    <cellStyle name="Accent6 4 4" xfId="9710"/>
    <cellStyle name="Accent6 4 5" xfId="22344"/>
    <cellStyle name="Accent6 5" xfId="5426"/>
    <cellStyle name="Accent6 5 2" xfId="5427"/>
    <cellStyle name="Accent6 5 2 2" xfId="9712"/>
    <cellStyle name="Accent6 5 2 3" xfId="22340"/>
    <cellStyle name="Accent6 5 3" xfId="9711"/>
    <cellStyle name="Accent6 5 4" xfId="22341"/>
    <cellStyle name="Accent6 6" xfId="5428"/>
    <cellStyle name="Accent6 6 2" xfId="9713"/>
    <cellStyle name="Accent6 6 3" xfId="22339"/>
    <cellStyle name="Accent6 7" xfId="5429"/>
    <cellStyle name="Accent6 7 2" xfId="9714"/>
    <cellStyle name="Accent6 7 3" xfId="22338"/>
    <cellStyle name="Accent6 8" xfId="5430"/>
    <cellStyle name="Accent6 8 2" xfId="9715"/>
    <cellStyle name="Accent6 8 3" xfId="22337"/>
    <cellStyle name="Accent6 9" xfId="5431"/>
    <cellStyle name="Accent6 9 2" xfId="9716"/>
    <cellStyle name="Accent6 9 3" xfId="22336"/>
    <cellStyle name="ALSTEC Currency" xfId="1"/>
    <cellStyle name="ALSTEC Detail Header" xfId="2"/>
    <cellStyle name="ALSTEC Normal_RU EXP" xfId="3"/>
    <cellStyle name="Bad" xfId="20" builtinId="27" customBuiltin="1"/>
    <cellStyle name="Bad 10" xfId="5432"/>
    <cellStyle name="Bad 10 2" xfId="9718"/>
    <cellStyle name="Bad 10 3" xfId="22335"/>
    <cellStyle name="Bad 11" xfId="5433"/>
    <cellStyle name="Bad 11 2" xfId="9719"/>
    <cellStyle name="Bad 11 3" xfId="22334"/>
    <cellStyle name="Bad 12" xfId="5434"/>
    <cellStyle name="Bad 12 2" xfId="5435"/>
    <cellStyle name="Bad 12 2 2" xfId="15591"/>
    <cellStyle name="Bad 12 2 3" xfId="22332"/>
    <cellStyle name="Bad 12 3" xfId="10485"/>
    <cellStyle name="Bad 12 4" xfId="22333"/>
    <cellStyle name="Bad 13" xfId="5436"/>
    <cellStyle name="Bad 13 2" xfId="11312"/>
    <cellStyle name="Bad 13 3" xfId="22331"/>
    <cellStyle name="Bad 14" xfId="5437"/>
    <cellStyle name="Bad 14 2" xfId="9717"/>
    <cellStyle name="Bad 14 3" xfId="22330"/>
    <cellStyle name="Bad 2" xfId="5438"/>
    <cellStyle name="Bad 2 2" xfId="9720"/>
    <cellStyle name="Bad 2 3" xfId="22329"/>
    <cellStyle name="Bad 2 4" xfId="33050"/>
    <cellStyle name="Bad 3" xfId="5439"/>
    <cellStyle name="Bad 3 2" xfId="5440"/>
    <cellStyle name="Bad 3 2 2" xfId="9722"/>
    <cellStyle name="Bad 3 2 3" xfId="22327"/>
    <cellStyle name="Bad 3 3" xfId="9721"/>
    <cellStyle name="Bad 3 4" xfId="22328"/>
    <cellStyle name="Bad 4" xfId="5441"/>
    <cellStyle name="Bad 4 2" xfId="5442"/>
    <cellStyle name="Bad 4 2 2" xfId="13115"/>
    <cellStyle name="Bad 4 2 3" xfId="22325"/>
    <cellStyle name="Bad 4 3" xfId="5443"/>
    <cellStyle name="Bad 4 3 2" xfId="13114"/>
    <cellStyle name="Bad 4 3 3" xfId="22324"/>
    <cellStyle name="Bad 4 4" xfId="9723"/>
    <cellStyle name="Bad 4 5" xfId="22326"/>
    <cellStyle name="Bad 5" xfId="5444"/>
    <cellStyle name="Bad 5 2" xfId="5445"/>
    <cellStyle name="Bad 5 2 2" xfId="9725"/>
    <cellStyle name="Bad 5 2 3" xfId="22322"/>
    <cellStyle name="Bad 5 3" xfId="9724"/>
    <cellStyle name="Bad 5 4" xfId="22323"/>
    <cellStyle name="Bad 6" xfId="5446"/>
    <cellStyle name="Bad 6 2" xfId="9726"/>
    <cellStyle name="Bad 6 3" xfId="22321"/>
    <cellStyle name="Bad 7" xfId="5447"/>
    <cellStyle name="Bad 7 2" xfId="9727"/>
    <cellStyle name="Bad 7 3" xfId="22320"/>
    <cellStyle name="Bad 8" xfId="5448"/>
    <cellStyle name="Bad 8 2" xfId="9728"/>
    <cellStyle name="Bad 8 3" xfId="22319"/>
    <cellStyle name="Bad 9" xfId="5449"/>
    <cellStyle name="Bad 9 2" xfId="9729"/>
    <cellStyle name="Bad 9 3" xfId="22318"/>
    <cellStyle name="Calculation" xfId="24" builtinId="22" customBuiltin="1"/>
    <cellStyle name="Calculation 10" xfId="5450"/>
    <cellStyle name="Calculation 10 2" xfId="9731"/>
    <cellStyle name="Calculation 10 3" xfId="22317"/>
    <cellStyle name="Calculation 11" xfId="5451"/>
    <cellStyle name="Calculation 11 2" xfId="9732"/>
    <cellStyle name="Calculation 11 3" xfId="22316"/>
    <cellStyle name="Calculation 12" xfId="5452"/>
    <cellStyle name="Calculation 12 2" xfId="5453"/>
    <cellStyle name="Calculation 12 2 2" xfId="15592"/>
    <cellStyle name="Calculation 12 2 3" xfId="22314"/>
    <cellStyle name="Calculation 12 3" xfId="10486"/>
    <cellStyle name="Calculation 12 4" xfId="22315"/>
    <cellStyle name="Calculation 13" xfId="5454"/>
    <cellStyle name="Calculation 13 2" xfId="11313"/>
    <cellStyle name="Calculation 13 3" xfId="22313"/>
    <cellStyle name="Calculation 14" xfId="5455"/>
    <cellStyle name="Calculation 14 2" xfId="9730"/>
    <cellStyle name="Calculation 14 3" xfId="22312"/>
    <cellStyle name="Calculation 2" xfId="5456"/>
    <cellStyle name="Calculation 2 2" xfId="9733"/>
    <cellStyle name="Calculation 2 3" xfId="22311"/>
    <cellStyle name="Calculation 2 4" xfId="33054"/>
    <cellStyle name="Calculation 3" xfId="5457"/>
    <cellStyle name="Calculation 3 2" xfId="5458"/>
    <cellStyle name="Calculation 3 2 2" xfId="9735"/>
    <cellStyle name="Calculation 3 2 3" xfId="22309"/>
    <cellStyle name="Calculation 3 3" xfId="9734"/>
    <cellStyle name="Calculation 3 4" xfId="22310"/>
    <cellStyle name="Calculation 4" xfId="5459"/>
    <cellStyle name="Calculation 4 2" xfId="5460"/>
    <cellStyle name="Calculation 4 2 2" xfId="13117"/>
    <cellStyle name="Calculation 4 2 3" xfId="22307"/>
    <cellStyle name="Calculation 4 3" xfId="5461"/>
    <cellStyle name="Calculation 4 3 2" xfId="13116"/>
    <cellStyle name="Calculation 4 3 3" xfId="22306"/>
    <cellStyle name="Calculation 4 4" xfId="9736"/>
    <cellStyle name="Calculation 4 5" xfId="22308"/>
    <cellStyle name="Calculation 5" xfId="5462"/>
    <cellStyle name="Calculation 5 2" xfId="5463"/>
    <cellStyle name="Calculation 5 2 2" xfId="9738"/>
    <cellStyle name="Calculation 5 2 3" xfId="22304"/>
    <cellStyle name="Calculation 5 3" xfId="9737"/>
    <cellStyle name="Calculation 5 4" xfId="22305"/>
    <cellStyle name="Calculation 6" xfId="5464"/>
    <cellStyle name="Calculation 6 2" xfId="9739"/>
    <cellStyle name="Calculation 6 3" xfId="22303"/>
    <cellStyle name="Calculation 7" xfId="5465"/>
    <cellStyle name="Calculation 7 2" xfId="9740"/>
    <cellStyle name="Calculation 7 3" xfId="22302"/>
    <cellStyle name="Calculation 8" xfId="5466"/>
    <cellStyle name="Calculation 8 2" xfId="9741"/>
    <cellStyle name="Calculation 8 3" xfId="22301"/>
    <cellStyle name="Calculation 9" xfId="5467"/>
    <cellStyle name="Calculation 9 2" xfId="9742"/>
    <cellStyle name="Calculation 9 3" xfId="22300"/>
    <cellStyle name="Check Cell" xfId="33033" builtinId="23" customBuiltin="1"/>
    <cellStyle name="Check Cell 2" xfId="8813"/>
    <cellStyle name="Check Cell 2 2" xfId="33056"/>
    <cellStyle name="Check Cell 3" xfId="22299"/>
    <cellStyle name="Check Cell 4" xfId="5468"/>
    <cellStyle name="Comma" xfId="4" builtinId="3"/>
    <cellStyle name="Comma 10" xfId="5469"/>
    <cellStyle name="Comma 10 2" xfId="5470"/>
    <cellStyle name="Comma 10 2 2" xfId="13118"/>
    <cellStyle name="Comma 10 2 3" xfId="22297"/>
    <cellStyle name="Comma 10 3" xfId="10515"/>
    <cellStyle name="Comma 10 4" xfId="22298"/>
    <cellStyle name="Comma 11" xfId="8786"/>
    <cellStyle name="Comma 12" xfId="50"/>
    <cellStyle name="Comma 2" xfId="5"/>
    <cellStyle name="Comma 2 2" xfId="5472"/>
    <cellStyle name="Comma 2 2 2" xfId="5473"/>
    <cellStyle name="Comma 2 2 2 2" xfId="9743"/>
    <cellStyle name="Comma 2 2 2 3" xfId="22294"/>
    <cellStyle name="Comma 2 2 3" xfId="5474"/>
    <cellStyle name="Comma 2 2 3 2" xfId="9744"/>
    <cellStyle name="Comma 2 2 3 3" xfId="22293"/>
    <cellStyle name="Comma 2 2 4" xfId="8711"/>
    <cellStyle name="Comma 2 2 5" xfId="22295"/>
    <cellStyle name="Comma 2 3" xfId="5475"/>
    <cellStyle name="Comma 2 3 2" xfId="5476"/>
    <cellStyle name="Comma 2 3 2 2" xfId="9745"/>
    <cellStyle name="Comma 2 3 2 3" xfId="22291"/>
    <cellStyle name="Comma 2 3 3" xfId="5477"/>
    <cellStyle name="Comma 2 3 3 2" xfId="13119"/>
    <cellStyle name="Comma 2 3 3 3" xfId="22290"/>
    <cellStyle name="Comma 2 3 4" xfId="8677"/>
    <cellStyle name="Comma 2 3 5" xfId="22292"/>
    <cellStyle name="Comma 2 4" xfId="5478"/>
    <cellStyle name="Comma 2 4 2" xfId="5479"/>
    <cellStyle name="Comma 2 4 2 2" xfId="13120"/>
    <cellStyle name="Comma 2 4 2 3" xfId="22288"/>
    <cellStyle name="Comma 2 4 3" xfId="5480"/>
    <cellStyle name="Comma 2 4 3 2" xfId="17369"/>
    <cellStyle name="Comma 2 4 3 3" xfId="22287"/>
    <cellStyle name="Comma 2 4 4" xfId="8726"/>
    <cellStyle name="Comma 2 4 5" xfId="22289"/>
    <cellStyle name="Comma 2 5" xfId="8658"/>
    <cellStyle name="Comma 2 6" xfId="22296"/>
    <cellStyle name="Comma 2 7" xfId="33031"/>
    <cellStyle name="Comma 2 8" xfId="5471"/>
    <cellStyle name="Comma 3" xfId="5481"/>
    <cellStyle name="Comma 3 10" xfId="5482"/>
    <cellStyle name="Comma 3 10 2" xfId="9747"/>
    <cellStyle name="Comma 3 10 3" xfId="22285"/>
    <cellStyle name="Comma 3 11" xfId="5483"/>
    <cellStyle name="Comma 3 11 2" xfId="5484"/>
    <cellStyle name="Comma 3 11 2 2" xfId="13121"/>
    <cellStyle name="Comma 3 11 2 3" xfId="22283"/>
    <cellStyle name="Comma 3 11 3" xfId="5485"/>
    <cellStyle name="Comma 3 11 3 2" xfId="17019"/>
    <cellStyle name="Comma 3 11 3 2 2" xfId="30426"/>
    <cellStyle name="Comma 3 11 3 3" xfId="22282"/>
    <cellStyle name="Comma 3 11 4" xfId="9748"/>
    <cellStyle name="Comma 3 11 5" xfId="22284"/>
    <cellStyle name="Comma 3 12" xfId="5486"/>
    <cellStyle name="Comma 3 12 2" xfId="5487"/>
    <cellStyle name="Comma 3 12 2 2" xfId="13123"/>
    <cellStyle name="Comma 3 12 2 3" xfId="22280"/>
    <cellStyle name="Comma 3 12 3" xfId="5488"/>
    <cellStyle name="Comma 3 12 3 2" xfId="13122"/>
    <cellStyle name="Comma 3 12 3 2 2" xfId="26834"/>
    <cellStyle name="Comma 3 12 3 3" xfId="22279"/>
    <cellStyle name="Comma 3 12 4" xfId="5489"/>
    <cellStyle name="Comma 3 12 4 2" xfId="17108"/>
    <cellStyle name="Comma 3 12 4 2 2" xfId="30467"/>
    <cellStyle name="Comma 3 12 4 3" xfId="22278"/>
    <cellStyle name="Comma 3 12 5" xfId="9749"/>
    <cellStyle name="Comma 3 12 6" xfId="22281"/>
    <cellStyle name="Comma 3 13" xfId="5490"/>
    <cellStyle name="Comma 3 13 2" xfId="5491"/>
    <cellStyle name="Comma 3 13 2 2" xfId="17197"/>
    <cellStyle name="Comma 3 13 2 2 2" xfId="30556"/>
    <cellStyle name="Comma 3 13 2 3" xfId="22276"/>
    <cellStyle name="Comma 3 13 3" xfId="9750"/>
    <cellStyle name="Comma 3 13 4" xfId="22277"/>
    <cellStyle name="Comma 3 14" xfId="5492"/>
    <cellStyle name="Comma 3 14 2" xfId="5493"/>
    <cellStyle name="Comma 3 14 2 2" xfId="5494"/>
    <cellStyle name="Comma 3 14 2 2 2" xfId="11316"/>
    <cellStyle name="Comma 3 14 2 2 3" xfId="22273"/>
    <cellStyle name="Comma 3 14 2 3" xfId="9752"/>
    <cellStyle name="Comma 3 14 2 4" xfId="22274"/>
    <cellStyle name="Comma 3 14 3" xfId="5495"/>
    <cellStyle name="Comma 3 14 3 2" xfId="11315"/>
    <cellStyle name="Comma 3 14 3 3" xfId="22272"/>
    <cellStyle name="Comma 3 14 4" xfId="5496"/>
    <cellStyle name="Comma 3 14 4 2" xfId="17286"/>
    <cellStyle name="Comma 3 14 4 2 2" xfId="30645"/>
    <cellStyle name="Comma 3 14 4 3" xfId="22271"/>
    <cellStyle name="Comma 3 14 5" xfId="9751"/>
    <cellStyle name="Comma 3 14 6" xfId="22275"/>
    <cellStyle name="Comma 3 15" xfId="5497"/>
    <cellStyle name="Comma 3 15 2" xfId="5498"/>
    <cellStyle name="Comma 3 15 2 2" xfId="11317"/>
    <cellStyle name="Comma 3 15 2 3" xfId="22269"/>
    <cellStyle name="Comma 3 15 3" xfId="5499"/>
    <cellStyle name="Comma 3 15 3 2" xfId="16438"/>
    <cellStyle name="Comma 3 15 3 2 2" xfId="29845"/>
    <cellStyle name="Comma 3 15 3 3" xfId="22268"/>
    <cellStyle name="Comma 3 15 4" xfId="9753"/>
    <cellStyle name="Comma 3 15 5" xfId="22270"/>
    <cellStyle name="Comma 3 16" xfId="5500"/>
    <cellStyle name="Comma 3 16 2" xfId="5501"/>
    <cellStyle name="Comma 3 16 2 2" xfId="11318"/>
    <cellStyle name="Comma 3 16 2 3" xfId="22266"/>
    <cellStyle name="Comma 3 16 3" xfId="9754"/>
    <cellStyle name="Comma 3 16 4" xfId="22267"/>
    <cellStyle name="Comma 3 17" xfId="5502"/>
    <cellStyle name="Comma 3 17 2" xfId="5503"/>
    <cellStyle name="Comma 3 17 2 2" xfId="11319"/>
    <cellStyle name="Comma 3 17 2 3" xfId="22264"/>
    <cellStyle name="Comma 3 17 3" xfId="9755"/>
    <cellStyle name="Comma 3 17 4" xfId="22265"/>
    <cellStyle name="Comma 3 18" xfId="5504"/>
    <cellStyle name="Comma 3 18 2" xfId="5505"/>
    <cellStyle name="Comma 3 18 2 2" xfId="11320"/>
    <cellStyle name="Comma 3 18 2 3" xfId="22262"/>
    <cellStyle name="Comma 3 18 3" xfId="9756"/>
    <cellStyle name="Comma 3 18 4" xfId="22263"/>
    <cellStyle name="Comma 3 19" xfId="5506"/>
    <cellStyle name="Comma 3 19 2" xfId="5507"/>
    <cellStyle name="Comma 3 19 2 2" xfId="11321"/>
    <cellStyle name="Comma 3 19 2 3" xfId="22260"/>
    <cellStyle name="Comma 3 19 3" xfId="9757"/>
    <cellStyle name="Comma 3 19 4" xfId="22261"/>
    <cellStyle name="Comma 3 2" xfId="5508"/>
    <cellStyle name="Comma 3 2 10" xfId="5509"/>
    <cellStyle name="Comma 3 2 10 2" xfId="11322"/>
    <cellStyle name="Comma 3 2 10 3" xfId="22258"/>
    <cellStyle name="Comma 3 2 11" xfId="5510"/>
    <cellStyle name="Comma 3 2 11 2" xfId="5511"/>
    <cellStyle name="Comma 3 2 11 2 2" xfId="13124"/>
    <cellStyle name="Comma 3 2 11 2 2 2" xfId="26836"/>
    <cellStyle name="Comma 3 2 11 2 3" xfId="22256"/>
    <cellStyle name="Comma 3 2 11 3" xfId="5512"/>
    <cellStyle name="Comma 3 2 11 3 2" xfId="15593"/>
    <cellStyle name="Comma 3 2 11 3 3" xfId="22255"/>
    <cellStyle name="Comma 3 2 11 4" xfId="11735"/>
    <cellStyle name="Comma 3 2 11 5" xfId="22257"/>
    <cellStyle name="Comma 3 2 12" xfId="5513"/>
    <cellStyle name="Comma 3 2 12 2" xfId="11853"/>
    <cellStyle name="Comma 3 2 12 2 2" xfId="25568"/>
    <cellStyle name="Comma 3 2 12 3" xfId="22254"/>
    <cellStyle name="Comma 3 2 13" xfId="5514"/>
    <cellStyle name="Comma 3 2 13 2" xfId="13447"/>
    <cellStyle name="Comma 3 2 13 2 2" xfId="26996"/>
    <cellStyle name="Comma 3 2 13 3" xfId="22253"/>
    <cellStyle name="Comma 3 2 14" xfId="5515"/>
    <cellStyle name="Comma 3 2 14 2" xfId="14028"/>
    <cellStyle name="Comma 3 2 14 2 2" xfId="27577"/>
    <cellStyle name="Comma 3 2 14 3" xfId="22252"/>
    <cellStyle name="Comma 3 2 15" xfId="5516"/>
    <cellStyle name="Comma 3 2 15 2" xfId="15914"/>
    <cellStyle name="Comma 3 2 15 2 2" xfId="29321"/>
    <cellStyle name="Comma 3 2 15 3" xfId="22251"/>
    <cellStyle name="Comma 3 2 16" xfId="5517"/>
    <cellStyle name="Comma 3 2 16 2" xfId="9758"/>
    <cellStyle name="Comma 3 2 16 3" xfId="22250"/>
    <cellStyle name="Comma 3 2 17" xfId="8712"/>
    <cellStyle name="Comma 3 2 18" xfId="22259"/>
    <cellStyle name="Comma 3 2 19" xfId="33088"/>
    <cellStyle name="Comma 3 2 2" xfId="5518"/>
    <cellStyle name="Comma 3 2 2 10" xfId="9759"/>
    <cellStyle name="Comma 3 2 2 11" xfId="22249"/>
    <cellStyle name="Comma 3 2 2 12" xfId="32938"/>
    <cellStyle name="Comma 3 2 2 2" xfId="5519"/>
    <cellStyle name="Comma 3 2 2 2 2" xfId="5520"/>
    <cellStyle name="Comma 3 2 2 2 2 2" xfId="5521"/>
    <cellStyle name="Comma 3 2 2 2 2 2 2" xfId="5522"/>
    <cellStyle name="Comma 3 2 2 2 2 2 2 2" xfId="11323"/>
    <cellStyle name="Comma 3 2 2 2 2 2 2 3" xfId="22245"/>
    <cellStyle name="Comma 3 2 2 2 2 2 3" xfId="5523"/>
    <cellStyle name="Comma 3 2 2 2 2 2 3 2" xfId="16973"/>
    <cellStyle name="Comma 3 2 2 2 2 2 3 2 2" xfId="30380"/>
    <cellStyle name="Comma 3 2 2 2 2 2 3 3" xfId="22244"/>
    <cellStyle name="Comma 3 2 2 2 2 2 4" xfId="9762"/>
    <cellStyle name="Comma 3 2 2 2 2 2 5" xfId="22246"/>
    <cellStyle name="Comma 3 2 2 2 2 3" xfId="5524"/>
    <cellStyle name="Comma 3 2 2 2 2 3 2" xfId="5525"/>
    <cellStyle name="Comma 3 2 2 2 2 3 2 2" xfId="13125"/>
    <cellStyle name="Comma 3 2 2 2 2 3 2 3" xfId="22242"/>
    <cellStyle name="Comma 3 2 2 2 2 3 3" xfId="12361"/>
    <cellStyle name="Comma 3 2 2 2 2 3 3 2" xfId="26073"/>
    <cellStyle name="Comma 3 2 2 2 2 3 4" xfId="22243"/>
    <cellStyle name="Comma 3 2 2 2 2 4" xfId="5526"/>
    <cellStyle name="Comma 3 2 2 2 2 4 2" xfId="5527"/>
    <cellStyle name="Comma 3 2 2 2 2 4 2 2" xfId="15594"/>
    <cellStyle name="Comma 3 2 2 2 2 4 2 3" xfId="22240"/>
    <cellStyle name="Comma 3 2 2 2 2 4 3" xfId="13925"/>
    <cellStyle name="Comma 3 2 2 2 2 4 3 2" xfId="27474"/>
    <cellStyle name="Comma 3 2 2 2 2 4 4" xfId="22241"/>
    <cellStyle name="Comma 3 2 2 2 2 5" xfId="5528"/>
    <cellStyle name="Comma 3 2 2 2 2 5 2" xfId="14506"/>
    <cellStyle name="Comma 3 2 2 2 2 5 2 2" xfId="28055"/>
    <cellStyle name="Comma 3 2 2 2 2 5 3" xfId="22239"/>
    <cellStyle name="Comma 3 2 2 2 2 6" xfId="5529"/>
    <cellStyle name="Comma 3 2 2 2 2 6 2" xfId="16392"/>
    <cellStyle name="Comma 3 2 2 2 2 6 2 2" xfId="29799"/>
    <cellStyle name="Comma 3 2 2 2 2 6 3" xfId="22238"/>
    <cellStyle name="Comma 3 2 2 2 2 7" xfId="9761"/>
    <cellStyle name="Comma 3 2 2 2 2 8" xfId="22247"/>
    <cellStyle name="Comma 3 2 2 2 3" xfId="5530"/>
    <cellStyle name="Comma 3 2 2 2 3 2" xfId="5531"/>
    <cellStyle name="Comma 3 2 2 2 3 2 2" xfId="11324"/>
    <cellStyle name="Comma 3 2 2 2 3 2 3" xfId="22236"/>
    <cellStyle name="Comma 3 2 2 2 3 3" xfId="5532"/>
    <cellStyle name="Comma 3 2 2 2 3 3 2" xfId="16684"/>
    <cellStyle name="Comma 3 2 2 2 3 3 2 2" xfId="30091"/>
    <cellStyle name="Comma 3 2 2 2 3 3 3" xfId="22235"/>
    <cellStyle name="Comma 3 2 2 2 3 4" xfId="9763"/>
    <cellStyle name="Comma 3 2 2 2 3 5" xfId="22237"/>
    <cellStyle name="Comma 3 2 2 2 4" xfId="5533"/>
    <cellStyle name="Comma 3 2 2 2 4 2" xfId="5534"/>
    <cellStyle name="Comma 3 2 2 2 4 2 2" xfId="13126"/>
    <cellStyle name="Comma 3 2 2 2 4 2 3" xfId="22233"/>
    <cellStyle name="Comma 3 2 2 2 4 3" xfId="12061"/>
    <cellStyle name="Comma 3 2 2 2 4 3 2" xfId="25776"/>
    <cellStyle name="Comma 3 2 2 2 4 4" xfId="22234"/>
    <cellStyle name="Comma 3 2 2 2 5" xfId="5535"/>
    <cellStyle name="Comma 3 2 2 2 5 2" xfId="5536"/>
    <cellStyle name="Comma 3 2 2 2 5 2 2" xfId="15595"/>
    <cellStyle name="Comma 3 2 2 2 5 2 3" xfId="22231"/>
    <cellStyle name="Comma 3 2 2 2 5 3" xfId="13636"/>
    <cellStyle name="Comma 3 2 2 2 5 3 2" xfId="27185"/>
    <cellStyle name="Comma 3 2 2 2 5 4" xfId="22232"/>
    <cellStyle name="Comma 3 2 2 2 6" xfId="5537"/>
    <cellStyle name="Comma 3 2 2 2 6 2" xfId="14217"/>
    <cellStyle name="Comma 3 2 2 2 6 2 2" xfId="27766"/>
    <cellStyle name="Comma 3 2 2 2 6 3" xfId="22230"/>
    <cellStyle name="Comma 3 2 2 2 7" xfId="5538"/>
    <cellStyle name="Comma 3 2 2 2 7 2" xfId="16103"/>
    <cellStyle name="Comma 3 2 2 2 7 2 2" xfId="29510"/>
    <cellStyle name="Comma 3 2 2 2 7 3" xfId="22229"/>
    <cellStyle name="Comma 3 2 2 2 8" xfId="9760"/>
    <cellStyle name="Comma 3 2 2 2 9" xfId="22248"/>
    <cellStyle name="Comma 3 2 2 3" xfId="5539"/>
    <cellStyle name="Comma 3 2 2 3 2" xfId="5540"/>
    <cellStyle name="Comma 3 2 2 3 2 2" xfId="5541"/>
    <cellStyle name="Comma 3 2 2 3 2 2 2" xfId="11325"/>
    <cellStyle name="Comma 3 2 2 3 2 2 3" xfId="22226"/>
    <cellStyle name="Comma 3 2 2 3 2 3" xfId="5542"/>
    <cellStyle name="Comma 3 2 2 3 2 3 2" xfId="16830"/>
    <cellStyle name="Comma 3 2 2 3 2 3 2 2" xfId="30237"/>
    <cellStyle name="Comma 3 2 2 3 2 3 3" xfId="22225"/>
    <cellStyle name="Comma 3 2 2 3 2 4" xfId="9765"/>
    <cellStyle name="Comma 3 2 2 3 2 5" xfId="22227"/>
    <cellStyle name="Comma 3 2 2 3 3" xfId="5543"/>
    <cellStyle name="Comma 3 2 2 3 3 2" xfId="5544"/>
    <cellStyle name="Comma 3 2 2 3 3 2 2" xfId="13127"/>
    <cellStyle name="Comma 3 2 2 3 3 2 3" xfId="22223"/>
    <cellStyle name="Comma 3 2 2 3 3 3" xfId="12218"/>
    <cellStyle name="Comma 3 2 2 3 3 3 2" xfId="25930"/>
    <cellStyle name="Comma 3 2 2 3 3 4" xfId="22224"/>
    <cellStyle name="Comma 3 2 2 3 4" xfId="5545"/>
    <cellStyle name="Comma 3 2 2 3 4 2" xfId="5546"/>
    <cellStyle name="Comma 3 2 2 3 4 2 2" xfId="15596"/>
    <cellStyle name="Comma 3 2 2 3 4 2 3" xfId="22221"/>
    <cellStyle name="Comma 3 2 2 3 4 3" xfId="13782"/>
    <cellStyle name="Comma 3 2 2 3 4 3 2" xfId="27331"/>
    <cellStyle name="Comma 3 2 2 3 4 4" xfId="22222"/>
    <cellStyle name="Comma 3 2 2 3 5" xfId="5547"/>
    <cellStyle name="Comma 3 2 2 3 5 2" xfId="14363"/>
    <cellStyle name="Comma 3 2 2 3 5 2 2" xfId="27912"/>
    <cellStyle name="Comma 3 2 2 3 5 3" xfId="22220"/>
    <cellStyle name="Comma 3 2 2 3 6" xfId="5548"/>
    <cellStyle name="Comma 3 2 2 3 6 2" xfId="16249"/>
    <cellStyle name="Comma 3 2 2 3 6 2 2" xfId="29656"/>
    <cellStyle name="Comma 3 2 2 3 6 3" xfId="22219"/>
    <cellStyle name="Comma 3 2 2 3 7" xfId="9764"/>
    <cellStyle name="Comma 3 2 2 3 8" xfId="22228"/>
    <cellStyle name="Comma 3 2 2 4" xfId="5549"/>
    <cellStyle name="Comma 3 2 2 4 2" xfId="5550"/>
    <cellStyle name="Comma 3 2 2 4 2 2" xfId="17177"/>
    <cellStyle name="Comma 3 2 2 4 2 2 2" xfId="30536"/>
    <cellStyle name="Comma 3 2 2 4 2 3" xfId="22217"/>
    <cellStyle name="Comma 3 2 2 4 3" xfId="9766"/>
    <cellStyle name="Comma 3 2 2 4 4" xfId="22218"/>
    <cellStyle name="Comma 3 2 2 5" xfId="5551"/>
    <cellStyle name="Comma 3 2 2 5 2" xfId="5552"/>
    <cellStyle name="Comma 3 2 2 5 2 2" xfId="11326"/>
    <cellStyle name="Comma 3 2 2 5 2 3" xfId="22215"/>
    <cellStyle name="Comma 3 2 2 5 3" xfId="5553"/>
    <cellStyle name="Comma 3 2 2 5 3 2" xfId="17266"/>
    <cellStyle name="Comma 3 2 2 5 3 2 2" xfId="30625"/>
    <cellStyle name="Comma 3 2 2 5 3 3" xfId="22214"/>
    <cellStyle name="Comma 3 2 2 5 4" xfId="9767"/>
    <cellStyle name="Comma 3 2 2 5 5" xfId="22216"/>
    <cellStyle name="Comma 3 2 2 6" xfId="5554"/>
    <cellStyle name="Comma 3 2 2 6 2" xfId="5555"/>
    <cellStyle name="Comma 3 2 2 6 2 2" xfId="13128"/>
    <cellStyle name="Comma 3 2 2 6 2 3" xfId="22212"/>
    <cellStyle name="Comma 3 2 2 6 3" xfId="5556"/>
    <cellStyle name="Comma 3 2 2 6 3 2" xfId="16541"/>
    <cellStyle name="Comma 3 2 2 6 3 2 2" xfId="29948"/>
    <cellStyle name="Comma 3 2 2 6 3 3" xfId="22211"/>
    <cellStyle name="Comma 3 2 2 6 4" xfId="11916"/>
    <cellStyle name="Comma 3 2 2 6 4 2" xfId="25631"/>
    <cellStyle name="Comma 3 2 2 6 5" xfId="22213"/>
    <cellStyle name="Comma 3 2 2 7" xfId="5557"/>
    <cellStyle name="Comma 3 2 2 7 2" xfId="5558"/>
    <cellStyle name="Comma 3 2 2 7 2 2" xfId="15597"/>
    <cellStyle name="Comma 3 2 2 7 2 3" xfId="22209"/>
    <cellStyle name="Comma 3 2 2 7 3" xfId="13493"/>
    <cellStyle name="Comma 3 2 2 7 3 2" xfId="27042"/>
    <cellStyle name="Comma 3 2 2 7 4" xfId="22210"/>
    <cellStyle name="Comma 3 2 2 8" xfId="5559"/>
    <cellStyle name="Comma 3 2 2 8 2" xfId="14074"/>
    <cellStyle name="Comma 3 2 2 8 2 2" xfId="27623"/>
    <cellStyle name="Comma 3 2 2 8 3" xfId="22208"/>
    <cellStyle name="Comma 3 2 2 9" xfId="5560"/>
    <cellStyle name="Comma 3 2 2 9 2" xfId="15960"/>
    <cellStyle name="Comma 3 2 2 9 2 2" xfId="29367"/>
    <cellStyle name="Comma 3 2 2 9 3" xfId="22207"/>
    <cellStyle name="Comma 3 2 3" xfId="5561"/>
    <cellStyle name="Comma 3 2 3 2" xfId="5562"/>
    <cellStyle name="Comma 3 2 3 2 2" xfId="5563"/>
    <cellStyle name="Comma 3 2 3 2 2 2" xfId="5564"/>
    <cellStyle name="Comma 3 2 3 2 2 2 2" xfId="11327"/>
    <cellStyle name="Comma 3 2 3 2 2 2 3" xfId="22203"/>
    <cellStyle name="Comma 3 2 3 2 2 3" xfId="5565"/>
    <cellStyle name="Comma 3 2 3 2 2 3 2" xfId="16927"/>
    <cellStyle name="Comma 3 2 3 2 2 3 2 2" xfId="30334"/>
    <cellStyle name="Comma 3 2 3 2 2 3 3" xfId="22202"/>
    <cellStyle name="Comma 3 2 3 2 2 4" xfId="9770"/>
    <cellStyle name="Comma 3 2 3 2 2 5" xfId="22204"/>
    <cellStyle name="Comma 3 2 3 2 3" xfId="5566"/>
    <cellStyle name="Comma 3 2 3 2 3 2" xfId="5567"/>
    <cellStyle name="Comma 3 2 3 2 3 2 2" xfId="13129"/>
    <cellStyle name="Comma 3 2 3 2 3 2 3" xfId="22200"/>
    <cellStyle name="Comma 3 2 3 2 3 3" xfId="12315"/>
    <cellStyle name="Comma 3 2 3 2 3 3 2" xfId="26027"/>
    <cellStyle name="Comma 3 2 3 2 3 4" xfId="22201"/>
    <cellStyle name="Comma 3 2 3 2 4" xfId="5568"/>
    <cellStyle name="Comma 3 2 3 2 4 2" xfId="5569"/>
    <cellStyle name="Comma 3 2 3 2 4 2 2" xfId="15598"/>
    <cellStyle name="Comma 3 2 3 2 4 2 3" xfId="22198"/>
    <cellStyle name="Comma 3 2 3 2 4 3" xfId="13879"/>
    <cellStyle name="Comma 3 2 3 2 4 3 2" xfId="27428"/>
    <cellStyle name="Comma 3 2 3 2 4 4" xfId="22199"/>
    <cellStyle name="Comma 3 2 3 2 5" xfId="5570"/>
    <cellStyle name="Comma 3 2 3 2 5 2" xfId="14460"/>
    <cellStyle name="Comma 3 2 3 2 5 2 2" xfId="28009"/>
    <cellStyle name="Comma 3 2 3 2 5 3" xfId="22197"/>
    <cellStyle name="Comma 3 2 3 2 6" xfId="5571"/>
    <cellStyle name="Comma 3 2 3 2 6 2" xfId="16346"/>
    <cellStyle name="Comma 3 2 3 2 6 2 2" xfId="29753"/>
    <cellStyle name="Comma 3 2 3 2 6 3" xfId="22196"/>
    <cellStyle name="Comma 3 2 3 2 7" xfId="9769"/>
    <cellStyle name="Comma 3 2 3 2 8" xfId="22205"/>
    <cellStyle name="Comma 3 2 3 3" xfId="5572"/>
    <cellStyle name="Comma 3 2 3 3 2" xfId="5573"/>
    <cellStyle name="Comma 3 2 3 3 2 2" xfId="11328"/>
    <cellStyle name="Comma 3 2 3 3 2 3" xfId="22194"/>
    <cellStyle name="Comma 3 2 3 3 3" xfId="5574"/>
    <cellStyle name="Comma 3 2 3 3 3 2" xfId="16638"/>
    <cellStyle name="Comma 3 2 3 3 3 2 2" xfId="30045"/>
    <cellStyle name="Comma 3 2 3 3 3 3" xfId="22193"/>
    <cellStyle name="Comma 3 2 3 3 4" xfId="9771"/>
    <cellStyle name="Comma 3 2 3 3 5" xfId="22195"/>
    <cellStyle name="Comma 3 2 3 4" xfId="5575"/>
    <cellStyle name="Comma 3 2 3 4 2" xfId="5576"/>
    <cellStyle name="Comma 3 2 3 4 2 2" xfId="13130"/>
    <cellStyle name="Comma 3 2 3 4 2 3" xfId="22191"/>
    <cellStyle name="Comma 3 2 3 4 3" xfId="12015"/>
    <cellStyle name="Comma 3 2 3 4 3 2" xfId="25730"/>
    <cellStyle name="Comma 3 2 3 4 4" xfId="22192"/>
    <cellStyle name="Comma 3 2 3 5" xfId="5577"/>
    <cellStyle name="Comma 3 2 3 5 2" xfId="5578"/>
    <cellStyle name="Comma 3 2 3 5 2 2" xfId="15599"/>
    <cellStyle name="Comma 3 2 3 5 2 3" xfId="22189"/>
    <cellStyle name="Comma 3 2 3 5 3" xfId="13590"/>
    <cellStyle name="Comma 3 2 3 5 3 2" xfId="27139"/>
    <cellStyle name="Comma 3 2 3 5 4" xfId="22190"/>
    <cellStyle name="Comma 3 2 3 6" xfId="5579"/>
    <cellStyle name="Comma 3 2 3 6 2" xfId="14171"/>
    <cellStyle name="Comma 3 2 3 6 2 2" xfId="27720"/>
    <cellStyle name="Comma 3 2 3 6 3" xfId="22188"/>
    <cellStyle name="Comma 3 2 3 7" xfId="5580"/>
    <cellStyle name="Comma 3 2 3 7 2" xfId="16057"/>
    <cellStyle name="Comma 3 2 3 7 2 2" xfId="29464"/>
    <cellStyle name="Comma 3 2 3 7 3" xfId="22187"/>
    <cellStyle name="Comma 3 2 3 8" xfId="9768"/>
    <cellStyle name="Comma 3 2 3 9" xfId="22206"/>
    <cellStyle name="Comma 3 2 4" xfId="5581"/>
    <cellStyle name="Comma 3 2 4 2" xfId="5582"/>
    <cellStyle name="Comma 3 2 4 2 2" xfId="5583"/>
    <cellStyle name="Comma 3 2 4 2 2 2" xfId="11329"/>
    <cellStyle name="Comma 3 2 4 2 2 3" xfId="22184"/>
    <cellStyle name="Comma 3 2 4 2 3" xfId="5584"/>
    <cellStyle name="Comma 3 2 4 2 3 2" xfId="16784"/>
    <cellStyle name="Comma 3 2 4 2 3 2 2" xfId="30191"/>
    <cellStyle name="Comma 3 2 4 2 3 3" xfId="22183"/>
    <cellStyle name="Comma 3 2 4 2 4" xfId="9773"/>
    <cellStyle name="Comma 3 2 4 2 5" xfId="22185"/>
    <cellStyle name="Comma 3 2 4 3" xfId="5585"/>
    <cellStyle name="Comma 3 2 4 3 2" xfId="5586"/>
    <cellStyle name="Comma 3 2 4 3 2 2" xfId="13131"/>
    <cellStyle name="Comma 3 2 4 3 2 3" xfId="22181"/>
    <cellStyle name="Comma 3 2 4 3 3" xfId="12172"/>
    <cellStyle name="Comma 3 2 4 3 3 2" xfId="25884"/>
    <cellStyle name="Comma 3 2 4 3 4" xfId="22182"/>
    <cellStyle name="Comma 3 2 4 4" xfId="5587"/>
    <cellStyle name="Comma 3 2 4 4 2" xfId="5588"/>
    <cellStyle name="Comma 3 2 4 4 2 2" xfId="15600"/>
    <cellStyle name="Comma 3 2 4 4 2 3" xfId="22179"/>
    <cellStyle name="Comma 3 2 4 4 3" xfId="13736"/>
    <cellStyle name="Comma 3 2 4 4 3 2" xfId="27285"/>
    <cellStyle name="Comma 3 2 4 4 4" xfId="22180"/>
    <cellStyle name="Comma 3 2 4 5" xfId="5589"/>
    <cellStyle name="Comma 3 2 4 5 2" xfId="14317"/>
    <cellStyle name="Comma 3 2 4 5 2 2" xfId="27866"/>
    <cellStyle name="Comma 3 2 4 5 3" xfId="22178"/>
    <cellStyle name="Comma 3 2 4 6" xfId="5590"/>
    <cellStyle name="Comma 3 2 4 6 2" xfId="16203"/>
    <cellStyle name="Comma 3 2 4 6 2 2" xfId="29610"/>
    <cellStyle name="Comma 3 2 4 6 3" xfId="22177"/>
    <cellStyle name="Comma 3 2 4 7" xfId="9772"/>
    <cellStyle name="Comma 3 2 4 8" xfId="22186"/>
    <cellStyle name="Comma 3 2 5" xfId="5591"/>
    <cellStyle name="Comma 3 2 5 2" xfId="5592"/>
    <cellStyle name="Comma 3 2 5 2 2" xfId="5593"/>
    <cellStyle name="Comma 3 2 5 2 2 2" xfId="11331"/>
    <cellStyle name="Comma 3 2 5 2 2 3" xfId="22174"/>
    <cellStyle name="Comma 3 2 5 2 3" xfId="9775"/>
    <cellStyle name="Comma 3 2 5 2 4" xfId="22175"/>
    <cellStyle name="Comma 3 2 5 3" xfId="5594"/>
    <cellStyle name="Comma 3 2 5 3 2" xfId="11330"/>
    <cellStyle name="Comma 3 2 5 3 3" xfId="22173"/>
    <cellStyle name="Comma 3 2 5 4" xfId="5595"/>
    <cellStyle name="Comma 3 2 5 4 2" xfId="17020"/>
    <cellStyle name="Comma 3 2 5 4 2 2" xfId="30427"/>
    <cellStyle name="Comma 3 2 5 4 3" xfId="22172"/>
    <cellStyle name="Comma 3 2 5 5" xfId="9774"/>
    <cellStyle name="Comma 3 2 5 6" xfId="22176"/>
    <cellStyle name="Comma 3 2 6" xfId="5596"/>
    <cellStyle name="Comma 3 2 6 2" xfId="5597"/>
    <cellStyle name="Comma 3 2 6 2 2" xfId="17131"/>
    <cellStyle name="Comma 3 2 6 2 2 2" xfId="30490"/>
    <cellStyle name="Comma 3 2 6 2 3" xfId="22170"/>
    <cellStyle name="Comma 3 2 6 3" xfId="9776"/>
    <cellStyle name="Comma 3 2 6 4" xfId="22171"/>
    <cellStyle name="Comma 3 2 7" xfId="5598"/>
    <cellStyle name="Comma 3 2 7 2" xfId="5599"/>
    <cellStyle name="Comma 3 2 7 2 2" xfId="11332"/>
    <cellStyle name="Comma 3 2 7 2 3" xfId="22168"/>
    <cellStyle name="Comma 3 2 7 3" xfId="5600"/>
    <cellStyle name="Comma 3 2 7 3 2" xfId="17220"/>
    <cellStyle name="Comma 3 2 7 3 2 2" xfId="30579"/>
    <cellStyle name="Comma 3 2 7 3 3" xfId="22167"/>
    <cellStyle name="Comma 3 2 7 4" xfId="9777"/>
    <cellStyle name="Comma 3 2 7 5" xfId="22169"/>
    <cellStyle name="Comma 3 2 8" xfId="5601"/>
    <cellStyle name="Comma 3 2 8 2" xfId="5602"/>
    <cellStyle name="Comma 3 2 8 2 2" xfId="11333"/>
    <cellStyle name="Comma 3 2 8 2 3" xfId="22165"/>
    <cellStyle name="Comma 3 2 8 3" xfId="5603"/>
    <cellStyle name="Comma 3 2 8 3 2" xfId="16495"/>
    <cellStyle name="Comma 3 2 8 3 2 2" xfId="29902"/>
    <cellStyle name="Comma 3 2 8 3 3" xfId="22164"/>
    <cellStyle name="Comma 3 2 8 4" xfId="9778"/>
    <cellStyle name="Comma 3 2 8 5" xfId="22166"/>
    <cellStyle name="Comma 3 2 9" xfId="5604"/>
    <cellStyle name="Comma 3 2 9 2" xfId="5605"/>
    <cellStyle name="Comma 3 2 9 2 2" xfId="13132"/>
    <cellStyle name="Comma 3 2 9 2 2 2" xfId="26844"/>
    <cellStyle name="Comma 3 2 9 2 3" xfId="22162"/>
    <cellStyle name="Comma 3 2 9 3" xfId="5606"/>
    <cellStyle name="Comma 3 2 9 3 2" xfId="15601"/>
    <cellStyle name="Comma 3 2 9 3 3" xfId="22161"/>
    <cellStyle name="Comma 3 2 9 4" xfId="10540"/>
    <cellStyle name="Comma 3 2 9 4 2" xfId="24482"/>
    <cellStyle name="Comma 3 2 9 5" xfId="22163"/>
    <cellStyle name="Comma 3 20" xfId="5607"/>
    <cellStyle name="Comma 3 20 2" xfId="5608"/>
    <cellStyle name="Comma 3 20 2 2" xfId="11334"/>
    <cellStyle name="Comma 3 20 2 3" xfId="22159"/>
    <cellStyle name="Comma 3 20 3" xfId="9779"/>
    <cellStyle name="Comma 3 20 4" xfId="22160"/>
    <cellStyle name="Comma 3 21" xfId="5609"/>
    <cellStyle name="Comma 3 21 2" xfId="5610"/>
    <cellStyle name="Comma 3 21 2 2" xfId="11722"/>
    <cellStyle name="Comma 3 21 2 2 2" xfId="25442"/>
    <cellStyle name="Comma 3 21 2 3" xfId="22157"/>
    <cellStyle name="Comma 3 21 3" xfId="5611"/>
    <cellStyle name="Comma 3 21 3 2" xfId="13133"/>
    <cellStyle name="Comma 3 21 3 2 2" xfId="26845"/>
    <cellStyle name="Comma 3 21 3 3" xfId="22156"/>
    <cellStyle name="Comma 3 21 4" xfId="5612"/>
    <cellStyle name="Comma 3 21 4 2" xfId="15602"/>
    <cellStyle name="Comma 3 21 4 3" xfId="22155"/>
    <cellStyle name="Comma 3 21 5" xfId="10487"/>
    <cellStyle name="Comma 3 21 5 2" xfId="24446"/>
    <cellStyle name="Comma 3 21 6" xfId="22158"/>
    <cellStyle name="Comma 3 22" xfId="5613"/>
    <cellStyle name="Comma 3 22 2" xfId="5614"/>
    <cellStyle name="Comma 3 22 2 2" xfId="13134"/>
    <cellStyle name="Comma 3 22 2 2 2" xfId="26846"/>
    <cellStyle name="Comma 3 22 2 3" xfId="22153"/>
    <cellStyle name="Comma 3 22 3" xfId="5615"/>
    <cellStyle name="Comma 3 22 3 2" xfId="15603"/>
    <cellStyle name="Comma 3 22 3 3" xfId="22152"/>
    <cellStyle name="Comma 3 22 4" xfId="10517"/>
    <cellStyle name="Comma 3 22 4 2" xfId="24465"/>
    <cellStyle name="Comma 3 22 5" xfId="22154"/>
    <cellStyle name="Comma 3 23" xfId="5616"/>
    <cellStyle name="Comma 3 23 2" xfId="11314"/>
    <cellStyle name="Comma 3 23 3" xfId="22151"/>
    <cellStyle name="Comma 3 24" xfId="5617"/>
    <cellStyle name="Comma 3 24 2" xfId="11760"/>
    <cellStyle name="Comma 3 24 2 2" xfId="25475"/>
    <cellStyle name="Comma 3 24 3" xfId="22150"/>
    <cellStyle name="Comma 3 25" xfId="5618"/>
    <cellStyle name="Comma 3 25 2" xfId="13390"/>
    <cellStyle name="Comma 3 25 2 2" xfId="26939"/>
    <cellStyle name="Comma 3 25 3" xfId="22149"/>
    <cellStyle name="Comma 3 26" xfId="5619"/>
    <cellStyle name="Comma 3 26 2" xfId="13971"/>
    <cellStyle name="Comma 3 26 2 2" xfId="27520"/>
    <cellStyle name="Comma 3 26 3" xfId="22148"/>
    <cellStyle name="Comma 3 27" xfId="5620"/>
    <cellStyle name="Comma 3 27 2" xfId="15829"/>
    <cellStyle name="Comma 3 27 2 2" xfId="29236"/>
    <cellStyle name="Comma 3 27 3" xfId="22147"/>
    <cellStyle name="Comma 3 28" xfId="5621"/>
    <cellStyle name="Comma 3 28 2" xfId="15857"/>
    <cellStyle name="Comma 3 28 2 2" xfId="29264"/>
    <cellStyle name="Comma 3 28 3" xfId="22146"/>
    <cellStyle name="Comma 3 29" xfId="8659"/>
    <cellStyle name="Comma 3 29 2" xfId="9746"/>
    <cellStyle name="Comma 3 3" xfId="5622"/>
    <cellStyle name="Comma 3 3 10" xfId="5623"/>
    <cellStyle name="Comma 3 3 10 2" xfId="17331"/>
    <cellStyle name="Comma 3 3 10 3" xfId="22144"/>
    <cellStyle name="Comma 3 3 11" xfId="8739"/>
    <cellStyle name="Comma 3 3 12" xfId="9780"/>
    <cellStyle name="Comma 3 3 13" xfId="22145"/>
    <cellStyle name="Comma 3 3 2" xfId="5624"/>
    <cellStyle name="Comma 3 3 2 2" xfId="5625"/>
    <cellStyle name="Comma 3 3 2 2 2" xfId="5626"/>
    <cellStyle name="Comma 3 3 2 2 2 2" xfId="5627"/>
    <cellStyle name="Comma 3 3 2 2 2 2 2" xfId="11335"/>
    <cellStyle name="Comma 3 3 2 2 2 2 3" xfId="22140"/>
    <cellStyle name="Comma 3 3 2 2 2 3" xfId="5628"/>
    <cellStyle name="Comma 3 3 2 2 2 3 2" xfId="16950"/>
    <cellStyle name="Comma 3 3 2 2 2 3 2 2" xfId="30357"/>
    <cellStyle name="Comma 3 3 2 2 2 3 3" xfId="22139"/>
    <cellStyle name="Comma 3 3 2 2 2 4" xfId="9783"/>
    <cellStyle name="Comma 3 3 2 2 2 5" xfId="22141"/>
    <cellStyle name="Comma 3 3 2 2 3" xfId="5629"/>
    <cellStyle name="Comma 3 3 2 2 3 2" xfId="5630"/>
    <cellStyle name="Comma 3 3 2 2 3 2 2" xfId="13135"/>
    <cellStyle name="Comma 3 3 2 2 3 2 3" xfId="22137"/>
    <cellStyle name="Comma 3 3 2 2 3 3" xfId="12338"/>
    <cellStyle name="Comma 3 3 2 2 3 3 2" xfId="26050"/>
    <cellStyle name="Comma 3 3 2 2 3 4" xfId="22138"/>
    <cellStyle name="Comma 3 3 2 2 4" xfId="5631"/>
    <cellStyle name="Comma 3 3 2 2 4 2" xfId="5632"/>
    <cellStyle name="Comma 3 3 2 2 4 2 2" xfId="15604"/>
    <cellStyle name="Comma 3 3 2 2 4 2 3" xfId="22135"/>
    <cellStyle name="Comma 3 3 2 2 4 3" xfId="13902"/>
    <cellStyle name="Comma 3 3 2 2 4 3 2" xfId="27451"/>
    <cellStyle name="Comma 3 3 2 2 4 4" xfId="22136"/>
    <cellStyle name="Comma 3 3 2 2 5" xfId="5633"/>
    <cellStyle name="Comma 3 3 2 2 5 2" xfId="14483"/>
    <cellStyle name="Comma 3 3 2 2 5 2 2" xfId="28032"/>
    <cellStyle name="Comma 3 3 2 2 5 3" xfId="22134"/>
    <cellStyle name="Comma 3 3 2 2 6" xfId="5634"/>
    <cellStyle name="Comma 3 3 2 2 6 2" xfId="16369"/>
    <cellStyle name="Comma 3 3 2 2 6 2 2" xfId="29776"/>
    <cellStyle name="Comma 3 3 2 2 6 3" xfId="22133"/>
    <cellStyle name="Comma 3 3 2 2 7" xfId="9782"/>
    <cellStyle name="Comma 3 3 2 2 8" xfId="22142"/>
    <cellStyle name="Comma 3 3 2 3" xfId="5635"/>
    <cellStyle name="Comma 3 3 2 3 2" xfId="5636"/>
    <cellStyle name="Comma 3 3 2 3 2 2" xfId="11336"/>
    <cellStyle name="Comma 3 3 2 3 2 3" xfId="22131"/>
    <cellStyle name="Comma 3 3 2 3 3" xfId="5637"/>
    <cellStyle name="Comma 3 3 2 3 3 2" xfId="16661"/>
    <cellStyle name="Comma 3 3 2 3 3 2 2" xfId="30068"/>
    <cellStyle name="Comma 3 3 2 3 3 3" xfId="22130"/>
    <cellStyle name="Comma 3 3 2 3 4" xfId="9784"/>
    <cellStyle name="Comma 3 3 2 3 5" xfId="22132"/>
    <cellStyle name="Comma 3 3 2 4" xfId="5638"/>
    <cellStyle name="Comma 3 3 2 4 2" xfId="5639"/>
    <cellStyle name="Comma 3 3 2 4 2 2" xfId="13136"/>
    <cellStyle name="Comma 3 3 2 4 2 3" xfId="22128"/>
    <cellStyle name="Comma 3 3 2 4 3" xfId="12038"/>
    <cellStyle name="Comma 3 3 2 4 3 2" xfId="25753"/>
    <cellStyle name="Comma 3 3 2 4 4" xfId="22129"/>
    <cellStyle name="Comma 3 3 2 5" xfId="5640"/>
    <cellStyle name="Comma 3 3 2 5 2" xfId="5641"/>
    <cellStyle name="Comma 3 3 2 5 2 2" xfId="15605"/>
    <cellStyle name="Comma 3 3 2 5 2 3" xfId="22126"/>
    <cellStyle name="Comma 3 3 2 5 3" xfId="13613"/>
    <cellStyle name="Comma 3 3 2 5 3 2" xfId="27162"/>
    <cellStyle name="Comma 3 3 2 5 4" xfId="22127"/>
    <cellStyle name="Comma 3 3 2 6" xfId="5642"/>
    <cellStyle name="Comma 3 3 2 6 2" xfId="14194"/>
    <cellStyle name="Comma 3 3 2 6 2 2" xfId="27743"/>
    <cellStyle name="Comma 3 3 2 6 3" xfId="22125"/>
    <cellStyle name="Comma 3 3 2 7" xfId="5643"/>
    <cellStyle name="Comma 3 3 2 7 2" xfId="16080"/>
    <cellStyle name="Comma 3 3 2 7 2 2" xfId="29487"/>
    <cellStyle name="Comma 3 3 2 7 3" xfId="22124"/>
    <cellStyle name="Comma 3 3 2 8" xfId="9781"/>
    <cellStyle name="Comma 3 3 2 9" xfId="22143"/>
    <cellStyle name="Comma 3 3 3" xfId="5644"/>
    <cellStyle name="Comma 3 3 3 2" xfId="5645"/>
    <cellStyle name="Comma 3 3 3 2 2" xfId="5646"/>
    <cellStyle name="Comma 3 3 3 2 2 2" xfId="11337"/>
    <cellStyle name="Comma 3 3 3 2 2 3" xfId="22121"/>
    <cellStyle name="Comma 3 3 3 2 3" xfId="5647"/>
    <cellStyle name="Comma 3 3 3 2 3 2" xfId="16807"/>
    <cellStyle name="Comma 3 3 3 2 3 2 2" xfId="30214"/>
    <cellStyle name="Comma 3 3 3 2 3 3" xfId="22120"/>
    <cellStyle name="Comma 3 3 3 2 4" xfId="9786"/>
    <cellStyle name="Comma 3 3 3 2 5" xfId="22122"/>
    <cellStyle name="Comma 3 3 3 3" xfId="5648"/>
    <cellStyle name="Comma 3 3 3 3 2" xfId="5649"/>
    <cellStyle name="Comma 3 3 3 3 2 2" xfId="13137"/>
    <cellStyle name="Comma 3 3 3 3 2 3" xfId="22118"/>
    <cellStyle name="Comma 3 3 3 3 3" xfId="12195"/>
    <cellStyle name="Comma 3 3 3 3 3 2" xfId="25907"/>
    <cellStyle name="Comma 3 3 3 3 4" xfId="22119"/>
    <cellStyle name="Comma 3 3 3 4" xfId="5650"/>
    <cellStyle name="Comma 3 3 3 4 2" xfId="5651"/>
    <cellStyle name="Comma 3 3 3 4 2 2" xfId="15606"/>
    <cellStyle name="Comma 3 3 3 4 2 3" xfId="22116"/>
    <cellStyle name="Comma 3 3 3 4 3" xfId="13759"/>
    <cellStyle name="Comma 3 3 3 4 3 2" xfId="27308"/>
    <cellStyle name="Comma 3 3 3 4 4" xfId="22117"/>
    <cellStyle name="Comma 3 3 3 5" xfId="5652"/>
    <cellStyle name="Comma 3 3 3 5 2" xfId="14340"/>
    <cellStyle name="Comma 3 3 3 5 2 2" xfId="27889"/>
    <cellStyle name="Comma 3 3 3 5 3" xfId="22115"/>
    <cellStyle name="Comma 3 3 3 6" xfId="5653"/>
    <cellStyle name="Comma 3 3 3 6 2" xfId="16226"/>
    <cellStyle name="Comma 3 3 3 6 2 2" xfId="29633"/>
    <cellStyle name="Comma 3 3 3 6 3" xfId="22114"/>
    <cellStyle name="Comma 3 3 3 7" xfId="9785"/>
    <cellStyle name="Comma 3 3 3 8" xfId="22123"/>
    <cellStyle name="Comma 3 3 4" xfId="5654"/>
    <cellStyle name="Comma 3 3 4 2" xfId="5655"/>
    <cellStyle name="Comma 3 3 4 2 2" xfId="13138"/>
    <cellStyle name="Comma 3 3 4 2 3" xfId="22112"/>
    <cellStyle name="Comma 3 3 4 3" xfId="5656"/>
    <cellStyle name="Comma 3 3 4 3 2" xfId="17154"/>
    <cellStyle name="Comma 3 3 4 3 2 2" xfId="30513"/>
    <cellStyle name="Comma 3 3 4 3 3" xfId="22111"/>
    <cellStyle name="Comma 3 3 4 4" xfId="9787"/>
    <cellStyle name="Comma 3 3 4 5" xfId="22113"/>
    <cellStyle name="Comma 3 3 5" xfId="5657"/>
    <cellStyle name="Comma 3 3 5 2" xfId="5658"/>
    <cellStyle name="Comma 3 3 5 2 2" xfId="11338"/>
    <cellStyle name="Comma 3 3 5 2 3" xfId="22109"/>
    <cellStyle name="Comma 3 3 5 3" xfId="5659"/>
    <cellStyle name="Comma 3 3 5 3 2" xfId="17243"/>
    <cellStyle name="Comma 3 3 5 3 2 2" xfId="30602"/>
    <cellStyle name="Comma 3 3 5 3 3" xfId="22108"/>
    <cellStyle name="Comma 3 3 5 4" xfId="9788"/>
    <cellStyle name="Comma 3 3 5 5" xfId="22110"/>
    <cellStyle name="Comma 3 3 6" xfId="5660"/>
    <cellStyle name="Comma 3 3 6 2" xfId="5661"/>
    <cellStyle name="Comma 3 3 6 2 2" xfId="15607"/>
    <cellStyle name="Comma 3 3 6 2 3" xfId="22106"/>
    <cellStyle name="Comma 3 3 6 3" xfId="5662"/>
    <cellStyle name="Comma 3 3 6 3 2" xfId="16518"/>
    <cellStyle name="Comma 3 3 6 3 2 2" xfId="29925"/>
    <cellStyle name="Comma 3 3 6 3 3" xfId="22105"/>
    <cellStyle name="Comma 3 3 6 4" xfId="11891"/>
    <cellStyle name="Comma 3 3 6 4 2" xfId="25606"/>
    <cellStyle name="Comma 3 3 6 5" xfId="22107"/>
    <cellStyle name="Comma 3 3 7" xfId="5663"/>
    <cellStyle name="Comma 3 3 7 2" xfId="13470"/>
    <cellStyle name="Comma 3 3 7 2 2" xfId="27019"/>
    <cellStyle name="Comma 3 3 7 3" xfId="22104"/>
    <cellStyle name="Comma 3 3 8" xfId="5664"/>
    <cellStyle name="Comma 3 3 8 2" xfId="14051"/>
    <cellStyle name="Comma 3 3 8 2 2" xfId="27600"/>
    <cellStyle name="Comma 3 3 8 3" xfId="22103"/>
    <cellStyle name="Comma 3 3 9" xfId="5665"/>
    <cellStyle name="Comma 3 3 9 2" xfId="15937"/>
    <cellStyle name="Comma 3 3 9 2 2" xfId="29344"/>
    <cellStyle name="Comma 3 3 9 3" xfId="22102"/>
    <cellStyle name="Comma 3 30" xfId="17302"/>
    <cellStyle name="Comma 3 31" xfId="22286"/>
    <cellStyle name="Comma 3 4" xfId="5666"/>
    <cellStyle name="Comma 3 4 10" xfId="9789"/>
    <cellStyle name="Comma 3 4 11" xfId="22101"/>
    <cellStyle name="Comma 3 4 2" xfId="5667"/>
    <cellStyle name="Comma 3 4 2 2" xfId="5668"/>
    <cellStyle name="Comma 3 4 2 2 2" xfId="5669"/>
    <cellStyle name="Comma 3 4 2 2 2 2" xfId="5670"/>
    <cellStyle name="Comma 3 4 2 2 2 2 2" xfId="11339"/>
    <cellStyle name="Comma 3 4 2 2 2 2 3" xfId="22097"/>
    <cellStyle name="Comma 3 4 2 2 2 3" xfId="5671"/>
    <cellStyle name="Comma 3 4 2 2 2 3 2" xfId="16904"/>
    <cellStyle name="Comma 3 4 2 2 2 3 2 2" xfId="30311"/>
    <cellStyle name="Comma 3 4 2 2 2 3 3" xfId="22096"/>
    <cellStyle name="Comma 3 4 2 2 2 4" xfId="9792"/>
    <cellStyle name="Comma 3 4 2 2 2 5" xfId="22098"/>
    <cellStyle name="Comma 3 4 2 2 3" xfId="5672"/>
    <cellStyle name="Comma 3 4 2 2 3 2" xfId="5673"/>
    <cellStyle name="Comma 3 4 2 2 3 2 2" xfId="13139"/>
    <cellStyle name="Comma 3 4 2 2 3 2 3" xfId="22094"/>
    <cellStyle name="Comma 3 4 2 2 3 3" xfId="12292"/>
    <cellStyle name="Comma 3 4 2 2 3 3 2" xfId="26004"/>
    <cellStyle name="Comma 3 4 2 2 3 4" xfId="22095"/>
    <cellStyle name="Comma 3 4 2 2 4" xfId="5674"/>
    <cellStyle name="Comma 3 4 2 2 4 2" xfId="5675"/>
    <cellStyle name="Comma 3 4 2 2 4 2 2" xfId="15608"/>
    <cellStyle name="Comma 3 4 2 2 4 2 3" xfId="22092"/>
    <cellStyle name="Comma 3 4 2 2 4 3" xfId="13856"/>
    <cellStyle name="Comma 3 4 2 2 4 3 2" xfId="27405"/>
    <cellStyle name="Comma 3 4 2 2 4 4" xfId="22093"/>
    <cellStyle name="Comma 3 4 2 2 5" xfId="5676"/>
    <cellStyle name="Comma 3 4 2 2 5 2" xfId="14437"/>
    <cellStyle name="Comma 3 4 2 2 5 2 2" xfId="27986"/>
    <cellStyle name="Comma 3 4 2 2 5 3" xfId="22091"/>
    <cellStyle name="Comma 3 4 2 2 6" xfId="5677"/>
    <cellStyle name="Comma 3 4 2 2 6 2" xfId="16323"/>
    <cellStyle name="Comma 3 4 2 2 6 2 2" xfId="29730"/>
    <cellStyle name="Comma 3 4 2 2 6 3" xfId="22090"/>
    <cellStyle name="Comma 3 4 2 2 7" xfId="9791"/>
    <cellStyle name="Comma 3 4 2 2 8" xfId="22099"/>
    <cellStyle name="Comma 3 4 2 3" xfId="5678"/>
    <cellStyle name="Comma 3 4 2 3 2" xfId="5679"/>
    <cellStyle name="Comma 3 4 2 3 2 2" xfId="11340"/>
    <cellStyle name="Comma 3 4 2 3 2 3" xfId="22088"/>
    <cellStyle name="Comma 3 4 2 3 3" xfId="5680"/>
    <cellStyle name="Comma 3 4 2 3 3 2" xfId="16615"/>
    <cellStyle name="Comma 3 4 2 3 3 2 2" xfId="30022"/>
    <cellStyle name="Comma 3 4 2 3 3 3" xfId="22087"/>
    <cellStyle name="Comma 3 4 2 3 4" xfId="9793"/>
    <cellStyle name="Comma 3 4 2 3 5" xfId="22089"/>
    <cellStyle name="Comma 3 4 2 4" xfId="5681"/>
    <cellStyle name="Comma 3 4 2 4 2" xfId="5682"/>
    <cellStyle name="Comma 3 4 2 4 2 2" xfId="13140"/>
    <cellStyle name="Comma 3 4 2 4 2 3" xfId="22085"/>
    <cellStyle name="Comma 3 4 2 4 3" xfId="11992"/>
    <cellStyle name="Comma 3 4 2 4 3 2" xfId="25707"/>
    <cellStyle name="Comma 3 4 2 4 4" xfId="22086"/>
    <cellStyle name="Comma 3 4 2 5" xfId="5683"/>
    <cellStyle name="Comma 3 4 2 5 2" xfId="5684"/>
    <cellStyle name="Comma 3 4 2 5 2 2" xfId="15609"/>
    <cellStyle name="Comma 3 4 2 5 2 3" xfId="22083"/>
    <cellStyle name="Comma 3 4 2 5 3" xfId="13567"/>
    <cellStyle name="Comma 3 4 2 5 3 2" xfId="27116"/>
    <cellStyle name="Comma 3 4 2 5 4" xfId="22084"/>
    <cellStyle name="Comma 3 4 2 6" xfId="5685"/>
    <cellStyle name="Comma 3 4 2 6 2" xfId="14148"/>
    <cellStyle name="Comma 3 4 2 6 2 2" xfId="27697"/>
    <cellStyle name="Comma 3 4 2 6 3" xfId="22082"/>
    <cellStyle name="Comma 3 4 2 7" xfId="5686"/>
    <cellStyle name="Comma 3 4 2 7 2" xfId="16034"/>
    <cellStyle name="Comma 3 4 2 7 2 2" xfId="29441"/>
    <cellStyle name="Comma 3 4 2 7 3" xfId="22081"/>
    <cellStyle name="Comma 3 4 2 8" xfId="9790"/>
    <cellStyle name="Comma 3 4 2 9" xfId="22100"/>
    <cellStyle name="Comma 3 4 3" xfId="5687"/>
    <cellStyle name="Comma 3 4 3 2" xfId="5688"/>
    <cellStyle name="Comma 3 4 3 2 2" xfId="5689"/>
    <cellStyle name="Comma 3 4 3 2 2 2" xfId="11341"/>
    <cellStyle name="Comma 3 4 3 2 2 3" xfId="22078"/>
    <cellStyle name="Comma 3 4 3 2 3" xfId="5690"/>
    <cellStyle name="Comma 3 4 3 2 3 2" xfId="16764"/>
    <cellStyle name="Comma 3 4 3 2 3 2 2" xfId="30171"/>
    <cellStyle name="Comma 3 4 3 2 3 3" xfId="22077"/>
    <cellStyle name="Comma 3 4 3 2 4" xfId="9795"/>
    <cellStyle name="Comma 3 4 3 2 5" xfId="22079"/>
    <cellStyle name="Comma 3 4 3 3" xfId="5691"/>
    <cellStyle name="Comma 3 4 3 3 2" xfId="5692"/>
    <cellStyle name="Comma 3 4 3 3 2 2" xfId="13141"/>
    <cellStyle name="Comma 3 4 3 3 2 3" xfId="22075"/>
    <cellStyle name="Comma 3 4 3 3 3" xfId="12152"/>
    <cellStyle name="Comma 3 4 3 3 3 2" xfId="25864"/>
    <cellStyle name="Comma 3 4 3 3 4" xfId="22076"/>
    <cellStyle name="Comma 3 4 3 4" xfId="5693"/>
    <cellStyle name="Comma 3 4 3 4 2" xfId="5694"/>
    <cellStyle name="Comma 3 4 3 4 2 2" xfId="15610"/>
    <cellStyle name="Comma 3 4 3 4 2 3" xfId="22073"/>
    <cellStyle name="Comma 3 4 3 4 3" xfId="13716"/>
    <cellStyle name="Comma 3 4 3 4 3 2" xfId="27265"/>
    <cellStyle name="Comma 3 4 3 4 4" xfId="22074"/>
    <cellStyle name="Comma 3 4 3 5" xfId="5695"/>
    <cellStyle name="Comma 3 4 3 5 2" xfId="14297"/>
    <cellStyle name="Comma 3 4 3 5 2 2" xfId="27846"/>
    <cellStyle name="Comma 3 4 3 5 3" xfId="22072"/>
    <cellStyle name="Comma 3 4 3 6" xfId="5696"/>
    <cellStyle name="Comma 3 4 3 6 2" xfId="16183"/>
    <cellStyle name="Comma 3 4 3 6 2 2" xfId="29590"/>
    <cellStyle name="Comma 3 4 3 6 3" xfId="22071"/>
    <cellStyle name="Comma 3 4 3 7" xfId="9794"/>
    <cellStyle name="Comma 3 4 3 8" xfId="22080"/>
    <cellStyle name="Comma 3 4 4" xfId="5697"/>
    <cellStyle name="Comma 3 4 4 2" xfId="5698"/>
    <cellStyle name="Comma 3 4 4 2 2" xfId="16472"/>
    <cellStyle name="Comma 3 4 4 2 2 2" xfId="29879"/>
    <cellStyle name="Comma 3 4 4 2 3" xfId="22069"/>
    <cellStyle name="Comma 3 4 4 3" xfId="9796"/>
    <cellStyle name="Comma 3 4 4 4" xfId="22070"/>
    <cellStyle name="Comma 3 4 5" xfId="5699"/>
    <cellStyle name="Comma 3 4 5 2" xfId="5700"/>
    <cellStyle name="Comma 3 4 5 2 2" xfId="11342"/>
    <cellStyle name="Comma 3 4 5 2 3" xfId="22067"/>
    <cellStyle name="Comma 3 4 5 3" xfId="9797"/>
    <cellStyle name="Comma 3 4 5 4" xfId="22068"/>
    <cellStyle name="Comma 3 4 6" xfId="5701"/>
    <cellStyle name="Comma 3 4 6 2" xfId="5702"/>
    <cellStyle name="Comma 3 4 6 2 2" xfId="13142"/>
    <cellStyle name="Comma 3 4 6 2 3" xfId="22065"/>
    <cellStyle name="Comma 3 4 6 3" xfId="11823"/>
    <cellStyle name="Comma 3 4 6 3 2" xfId="25538"/>
    <cellStyle name="Comma 3 4 6 4" xfId="22066"/>
    <cellStyle name="Comma 3 4 7" xfId="5703"/>
    <cellStyle name="Comma 3 4 7 2" xfId="5704"/>
    <cellStyle name="Comma 3 4 7 2 2" xfId="15611"/>
    <cellStyle name="Comma 3 4 7 2 3" xfId="22063"/>
    <cellStyle name="Comma 3 4 7 3" xfId="13424"/>
    <cellStyle name="Comma 3 4 7 3 2" xfId="26973"/>
    <cellStyle name="Comma 3 4 7 4" xfId="22064"/>
    <cellStyle name="Comma 3 4 8" xfId="5705"/>
    <cellStyle name="Comma 3 4 8 2" xfId="14005"/>
    <cellStyle name="Comma 3 4 8 2 2" xfId="27554"/>
    <cellStyle name="Comma 3 4 8 3" xfId="22062"/>
    <cellStyle name="Comma 3 4 9" xfId="5706"/>
    <cellStyle name="Comma 3 4 9 2" xfId="15891"/>
    <cellStyle name="Comma 3 4 9 2 2" xfId="29298"/>
    <cellStyle name="Comma 3 4 9 3" xfId="22061"/>
    <cellStyle name="Comma 3 5" xfId="5707"/>
    <cellStyle name="Comma 3 5 10" xfId="9798"/>
    <cellStyle name="Comma 3 5 11" xfId="22060"/>
    <cellStyle name="Comma 3 5 2" xfId="5708"/>
    <cellStyle name="Comma 3 5 2 2" xfId="5709"/>
    <cellStyle name="Comma 3 5 2 2 2" xfId="5710"/>
    <cellStyle name="Comma 3 5 2 2 2 2" xfId="5711"/>
    <cellStyle name="Comma 3 5 2 2 2 2 2" xfId="11343"/>
    <cellStyle name="Comma 3 5 2 2 2 2 3" xfId="22056"/>
    <cellStyle name="Comma 3 5 2 2 2 3" xfId="5712"/>
    <cellStyle name="Comma 3 5 2 2 2 3 2" xfId="16887"/>
    <cellStyle name="Comma 3 5 2 2 2 3 2 2" xfId="30294"/>
    <cellStyle name="Comma 3 5 2 2 2 3 3" xfId="22055"/>
    <cellStyle name="Comma 3 5 2 2 2 4" xfId="9801"/>
    <cellStyle name="Comma 3 5 2 2 2 5" xfId="22057"/>
    <cellStyle name="Comma 3 5 2 2 3" xfId="5713"/>
    <cellStyle name="Comma 3 5 2 2 3 2" xfId="5714"/>
    <cellStyle name="Comma 3 5 2 2 3 2 2" xfId="13143"/>
    <cellStyle name="Comma 3 5 2 2 3 2 3" xfId="22053"/>
    <cellStyle name="Comma 3 5 2 2 3 3" xfId="12275"/>
    <cellStyle name="Comma 3 5 2 2 3 3 2" xfId="25987"/>
    <cellStyle name="Comma 3 5 2 2 3 4" xfId="22054"/>
    <cellStyle name="Comma 3 5 2 2 4" xfId="5715"/>
    <cellStyle name="Comma 3 5 2 2 4 2" xfId="5716"/>
    <cellStyle name="Comma 3 5 2 2 4 2 2" xfId="15612"/>
    <cellStyle name="Comma 3 5 2 2 4 2 3" xfId="22051"/>
    <cellStyle name="Comma 3 5 2 2 4 3" xfId="13839"/>
    <cellStyle name="Comma 3 5 2 2 4 3 2" xfId="27388"/>
    <cellStyle name="Comma 3 5 2 2 4 4" xfId="22052"/>
    <cellStyle name="Comma 3 5 2 2 5" xfId="5717"/>
    <cellStyle name="Comma 3 5 2 2 5 2" xfId="14420"/>
    <cellStyle name="Comma 3 5 2 2 5 2 2" xfId="27969"/>
    <cellStyle name="Comma 3 5 2 2 5 3" xfId="22050"/>
    <cellStyle name="Comma 3 5 2 2 6" xfId="5718"/>
    <cellStyle name="Comma 3 5 2 2 6 2" xfId="16306"/>
    <cellStyle name="Comma 3 5 2 2 6 2 2" xfId="29713"/>
    <cellStyle name="Comma 3 5 2 2 6 3" xfId="22049"/>
    <cellStyle name="Comma 3 5 2 2 7" xfId="9800"/>
    <cellStyle name="Comma 3 5 2 2 8" xfId="22058"/>
    <cellStyle name="Comma 3 5 2 3" xfId="5719"/>
    <cellStyle name="Comma 3 5 2 3 2" xfId="5720"/>
    <cellStyle name="Comma 3 5 2 3 2 2" xfId="11344"/>
    <cellStyle name="Comma 3 5 2 3 2 3" xfId="22047"/>
    <cellStyle name="Comma 3 5 2 3 3" xfId="5721"/>
    <cellStyle name="Comma 3 5 2 3 3 2" xfId="16598"/>
    <cellStyle name="Comma 3 5 2 3 3 2 2" xfId="30005"/>
    <cellStyle name="Comma 3 5 2 3 3 3" xfId="22046"/>
    <cellStyle name="Comma 3 5 2 3 4" xfId="9802"/>
    <cellStyle name="Comma 3 5 2 3 5" xfId="22048"/>
    <cellStyle name="Comma 3 5 2 4" xfId="5722"/>
    <cellStyle name="Comma 3 5 2 4 2" xfId="5723"/>
    <cellStyle name="Comma 3 5 2 4 2 2" xfId="13144"/>
    <cellStyle name="Comma 3 5 2 4 2 3" xfId="22044"/>
    <cellStyle name="Comma 3 5 2 4 3" xfId="11975"/>
    <cellStyle name="Comma 3 5 2 4 3 2" xfId="25690"/>
    <cellStyle name="Comma 3 5 2 4 4" xfId="22045"/>
    <cellStyle name="Comma 3 5 2 5" xfId="5724"/>
    <cellStyle name="Comma 3 5 2 5 2" xfId="5725"/>
    <cellStyle name="Comma 3 5 2 5 2 2" xfId="15613"/>
    <cellStyle name="Comma 3 5 2 5 2 3" xfId="22042"/>
    <cellStyle name="Comma 3 5 2 5 3" xfId="13550"/>
    <cellStyle name="Comma 3 5 2 5 3 2" xfId="27099"/>
    <cellStyle name="Comma 3 5 2 5 4" xfId="22043"/>
    <cellStyle name="Comma 3 5 2 6" xfId="5726"/>
    <cellStyle name="Comma 3 5 2 6 2" xfId="14131"/>
    <cellStyle name="Comma 3 5 2 6 2 2" xfId="27680"/>
    <cellStyle name="Comma 3 5 2 6 3" xfId="22041"/>
    <cellStyle name="Comma 3 5 2 7" xfId="5727"/>
    <cellStyle name="Comma 3 5 2 7 2" xfId="16017"/>
    <cellStyle name="Comma 3 5 2 7 2 2" xfId="29424"/>
    <cellStyle name="Comma 3 5 2 7 3" xfId="22040"/>
    <cellStyle name="Comma 3 5 2 8" xfId="9799"/>
    <cellStyle name="Comma 3 5 2 9" xfId="22059"/>
    <cellStyle name="Comma 3 5 3" xfId="5728"/>
    <cellStyle name="Comma 3 5 3 2" xfId="5729"/>
    <cellStyle name="Comma 3 5 3 2 2" xfId="5730"/>
    <cellStyle name="Comma 3 5 3 2 2 2" xfId="11345"/>
    <cellStyle name="Comma 3 5 3 2 2 3" xfId="22037"/>
    <cellStyle name="Comma 3 5 3 2 3" xfId="5731"/>
    <cellStyle name="Comma 3 5 3 2 3 2" xfId="16747"/>
    <cellStyle name="Comma 3 5 3 2 3 2 2" xfId="30154"/>
    <cellStyle name="Comma 3 5 3 2 3 3" xfId="22036"/>
    <cellStyle name="Comma 3 5 3 2 4" xfId="9804"/>
    <cellStyle name="Comma 3 5 3 2 5" xfId="22038"/>
    <cellStyle name="Comma 3 5 3 3" xfId="5732"/>
    <cellStyle name="Comma 3 5 3 3 2" xfId="5733"/>
    <cellStyle name="Comma 3 5 3 3 2 2" xfId="13145"/>
    <cellStyle name="Comma 3 5 3 3 2 3" xfId="22034"/>
    <cellStyle name="Comma 3 5 3 3 3" xfId="12135"/>
    <cellStyle name="Comma 3 5 3 3 3 2" xfId="25847"/>
    <cellStyle name="Comma 3 5 3 3 4" xfId="22035"/>
    <cellStyle name="Comma 3 5 3 4" xfId="5734"/>
    <cellStyle name="Comma 3 5 3 4 2" xfId="5735"/>
    <cellStyle name="Comma 3 5 3 4 2 2" xfId="15614"/>
    <cellStyle name="Comma 3 5 3 4 2 3" xfId="22032"/>
    <cellStyle name="Comma 3 5 3 4 3" xfId="13699"/>
    <cellStyle name="Comma 3 5 3 4 3 2" xfId="27248"/>
    <cellStyle name="Comma 3 5 3 4 4" xfId="22033"/>
    <cellStyle name="Comma 3 5 3 5" xfId="5736"/>
    <cellStyle name="Comma 3 5 3 5 2" xfId="14280"/>
    <cellStyle name="Comma 3 5 3 5 2 2" xfId="27829"/>
    <cellStyle name="Comma 3 5 3 5 3" xfId="22031"/>
    <cellStyle name="Comma 3 5 3 6" xfId="5737"/>
    <cellStyle name="Comma 3 5 3 6 2" xfId="16166"/>
    <cellStyle name="Comma 3 5 3 6 2 2" xfId="29573"/>
    <cellStyle name="Comma 3 5 3 6 3" xfId="22030"/>
    <cellStyle name="Comma 3 5 3 7" xfId="9803"/>
    <cellStyle name="Comma 3 5 3 8" xfId="22039"/>
    <cellStyle name="Comma 3 5 4" xfId="5738"/>
    <cellStyle name="Comma 3 5 4 2" xfId="5739"/>
    <cellStyle name="Comma 3 5 4 2 2" xfId="16455"/>
    <cellStyle name="Comma 3 5 4 2 2 2" xfId="29862"/>
    <cellStyle name="Comma 3 5 4 2 3" xfId="22028"/>
    <cellStyle name="Comma 3 5 4 3" xfId="9805"/>
    <cellStyle name="Comma 3 5 4 4" xfId="22029"/>
    <cellStyle name="Comma 3 5 5" xfId="5740"/>
    <cellStyle name="Comma 3 5 5 2" xfId="5741"/>
    <cellStyle name="Comma 3 5 5 2 2" xfId="11346"/>
    <cellStyle name="Comma 3 5 5 2 3" xfId="22026"/>
    <cellStyle name="Comma 3 5 5 3" xfId="9806"/>
    <cellStyle name="Comma 3 5 5 4" xfId="22027"/>
    <cellStyle name="Comma 3 5 6" xfId="5742"/>
    <cellStyle name="Comma 3 5 6 2" xfId="5743"/>
    <cellStyle name="Comma 3 5 6 2 2" xfId="13146"/>
    <cellStyle name="Comma 3 5 6 2 3" xfId="22024"/>
    <cellStyle name="Comma 3 5 6 3" xfId="11806"/>
    <cellStyle name="Comma 3 5 6 3 2" xfId="25521"/>
    <cellStyle name="Comma 3 5 6 4" xfId="22025"/>
    <cellStyle name="Comma 3 5 7" xfId="5744"/>
    <cellStyle name="Comma 3 5 7 2" xfId="5745"/>
    <cellStyle name="Comma 3 5 7 2 2" xfId="15615"/>
    <cellStyle name="Comma 3 5 7 2 3" xfId="22022"/>
    <cellStyle name="Comma 3 5 7 3" xfId="13407"/>
    <cellStyle name="Comma 3 5 7 3 2" xfId="26956"/>
    <cellStyle name="Comma 3 5 7 4" xfId="22023"/>
    <cellStyle name="Comma 3 5 8" xfId="5746"/>
    <cellStyle name="Comma 3 5 8 2" xfId="13988"/>
    <cellStyle name="Comma 3 5 8 2 2" xfId="27537"/>
    <cellStyle name="Comma 3 5 8 3" xfId="22021"/>
    <cellStyle name="Comma 3 5 9" xfId="5747"/>
    <cellStyle name="Comma 3 5 9 2" xfId="15874"/>
    <cellStyle name="Comma 3 5 9 2 2" xfId="29281"/>
    <cellStyle name="Comma 3 5 9 3" xfId="22020"/>
    <cellStyle name="Comma 3 6" xfId="5748"/>
    <cellStyle name="Comma 3 6 10" xfId="9807"/>
    <cellStyle name="Comma 3 6 11" xfId="22019"/>
    <cellStyle name="Comma 3 6 2" xfId="5749"/>
    <cellStyle name="Comma 3 6 2 2" xfId="5750"/>
    <cellStyle name="Comma 3 6 2 2 2" xfId="5751"/>
    <cellStyle name="Comma 3 6 2 2 2 2" xfId="5752"/>
    <cellStyle name="Comma 3 6 2 2 2 2 2" xfId="11347"/>
    <cellStyle name="Comma 3 6 2 2 2 2 3" xfId="22015"/>
    <cellStyle name="Comma 3 6 2 2 2 3" xfId="5753"/>
    <cellStyle name="Comma 3 6 2 2 2 3 2" xfId="16993"/>
    <cellStyle name="Comma 3 6 2 2 2 3 2 2" xfId="30400"/>
    <cellStyle name="Comma 3 6 2 2 2 3 3" xfId="22014"/>
    <cellStyle name="Comma 3 6 2 2 2 4" xfId="9810"/>
    <cellStyle name="Comma 3 6 2 2 2 5" xfId="22016"/>
    <cellStyle name="Comma 3 6 2 2 3" xfId="5754"/>
    <cellStyle name="Comma 3 6 2 2 3 2" xfId="5755"/>
    <cellStyle name="Comma 3 6 2 2 3 2 2" xfId="13147"/>
    <cellStyle name="Comma 3 6 2 2 3 2 3" xfId="22012"/>
    <cellStyle name="Comma 3 6 2 2 3 3" xfId="12381"/>
    <cellStyle name="Comma 3 6 2 2 3 3 2" xfId="26093"/>
    <cellStyle name="Comma 3 6 2 2 3 4" xfId="22013"/>
    <cellStyle name="Comma 3 6 2 2 4" xfId="5756"/>
    <cellStyle name="Comma 3 6 2 2 4 2" xfId="5757"/>
    <cellStyle name="Comma 3 6 2 2 4 2 2" xfId="15616"/>
    <cellStyle name="Comma 3 6 2 2 4 2 3" xfId="22010"/>
    <cellStyle name="Comma 3 6 2 2 4 3" xfId="13945"/>
    <cellStyle name="Comma 3 6 2 2 4 3 2" xfId="27494"/>
    <cellStyle name="Comma 3 6 2 2 4 4" xfId="22011"/>
    <cellStyle name="Comma 3 6 2 2 5" xfId="5758"/>
    <cellStyle name="Comma 3 6 2 2 5 2" xfId="14526"/>
    <cellStyle name="Comma 3 6 2 2 5 2 2" xfId="28075"/>
    <cellStyle name="Comma 3 6 2 2 5 3" xfId="22009"/>
    <cellStyle name="Comma 3 6 2 2 6" xfId="5759"/>
    <cellStyle name="Comma 3 6 2 2 6 2" xfId="16412"/>
    <cellStyle name="Comma 3 6 2 2 6 2 2" xfId="29819"/>
    <cellStyle name="Comma 3 6 2 2 6 3" xfId="22008"/>
    <cellStyle name="Comma 3 6 2 2 7" xfId="9809"/>
    <cellStyle name="Comma 3 6 2 2 8" xfId="22017"/>
    <cellStyle name="Comma 3 6 2 3" xfId="5760"/>
    <cellStyle name="Comma 3 6 2 3 2" xfId="5761"/>
    <cellStyle name="Comma 3 6 2 3 2 2" xfId="11348"/>
    <cellStyle name="Comma 3 6 2 3 2 3" xfId="22006"/>
    <cellStyle name="Comma 3 6 2 3 3" xfId="5762"/>
    <cellStyle name="Comma 3 6 2 3 3 2" xfId="16704"/>
    <cellStyle name="Comma 3 6 2 3 3 2 2" xfId="30111"/>
    <cellStyle name="Comma 3 6 2 3 3 3" xfId="22005"/>
    <cellStyle name="Comma 3 6 2 3 4" xfId="9811"/>
    <cellStyle name="Comma 3 6 2 3 5" xfId="22007"/>
    <cellStyle name="Comma 3 6 2 4" xfId="5763"/>
    <cellStyle name="Comma 3 6 2 4 2" xfId="5764"/>
    <cellStyle name="Comma 3 6 2 4 2 2" xfId="13148"/>
    <cellStyle name="Comma 3 6 2 4 2 3" xfId="22003"/>
    <cellStyle name="Comma 3 6 2 4 3" xfId="12081"/>
    <cellStyle name="Comma 3 6 2 4 3 2" xfId="25796"/>
    <cellStyle name="Comma 3 6 2 4 4" xfId="22004"/>
    <cellStyle name="Comma 3 6 2 5" xfId="5765"/>
    <cellStyle name="Comma 3 6 2 5 2" xfId="5766"/>
    <cellStyle name="Comma 3 6 2 5 2 2" xfId="15617"/>
    <cellStyle name="Comma 3 6 2 5 2 3" xfId="22001"/>
    <cellStyle name="Comma 3 6 2 5 3" xfId="13656"/>
    <cellStyle name="Comma 3 6 2 5 3 2" xfId="27205"/>
    <cellStyle name="Comma 3 6 2 5 4" xfId="22002"/>
    <cellStyle name="Comma 3 6 2 6" xfId="5767"/>
    <cellStyle name="Comma 3 6 2 6 2" xfId="14237"/>
    <cellStyle name="Comma 3 6 2 6 2 2" xfId="27786"/>
    <cellStyle name="Comma 3 6 2 6 3" xfId="22000"/>
    <cellStyle name="Comma 3 6 2 7" xfId="5768"/>
    <cellStyle name="Comma 3 6 2 7 2" xfId="16123"/>
    <cellStyle name="Comma 3 6 2 7 2 2" xfId="29530"/>
    <cellStyle name="Comma 3 6 2 7 3" xfId="21999"/>
    <cellStyle name="Comma 3 6 2 8" xfId="9808"/>
    <cellStyle name="Comma 3 6 2 9" xfId="22018"/>
    <cellStyle name="Comma 3 6 3" xfId="5769"/>
    <cellStyle name="Comma 3 6 3 2" xfId="5770"/>
    <cellStyle name="Comma 3 6 3 2 2" xfId="5771"/>
    <cellStyle name="Comma 3 6 3 2 2 2" xfId="11349"/>
    <cellStyle name="Comma 3 6 3 2 2 3" xfId="21996"/>
    <cellStyle name="Comma 3 6 3 2 3" xfId="5772"/>
    <cellStyle name="Comma 3 6 3 2 3 2" xfId="16850"/>
    <cellStyle name="Comma 3 6 3 2 3 2 2" xfId="30257"/>
    <cellStyle name="Comma 3 6 3 2 3 3" xfId="21995"/>
    <cellStyle name="Comma 3 6 3 2 4" xfId="9813"/>
    <cellStyle name="Comma 3 6 3 2 5" xfId="21997"/>
    <cellStyle name="Comma 3 6 3 3" xfId="5773"/>
    <cellStyle name="Comma 3 6 3 3 2" xfId="5774"/>
    <cellStyle name="Comma 3 6 3 3 2 2" xfId="13149"/>
    <cellStyle name="Comma 3 6 3 3 2 3" xfId="21993"/>
    <cellStyle name="Comma 3 6 3 3 3" xfId="12238"/>
    <cellStyle name="Comma 3 6 3 3 3 2" xfId="25950"/>
    <cellStyle name="Comma 3 6 3 3 4" xfId="21994"/>
    <cellStyle name="Comma 3 6 3 4" xfId="5775"/>
    <cellStyle name="Comma 3 6 3 4 2" xfId="5776"/>
    <cellStyle name="Comma 3 6 3 4 2 2" xfId="15618"/>
    <cellStyle name="Comma 3 6 3 4 2 3" xfId="21991"/>
    <cellStyle name="Comma 3 6 3 4 3" xfId="13802"/>
    <cellStyle name="Comma 3 6 3 4 3 2" xfId="27351"/>
    <cellStyle name="Comma 3 6 3 4 4" xfId="21992"/>
    <cellStyle name="Comma 3 6 3 5" xfId="5777"/>
    <cellStyle name="Comma 3 6 3 5 2" xfId="14383"/>
    <cellStyle name="Comma 3 6 3 5 2 2" xfId="27932"/>
    <cellStyle name="Comma 3 6 3 5 3" xfId="21990"/>
    <cellStyle name="Comma 3 6 3 6" xfId="5778"/>
    <cellStyle name="Comma 3 6 3 6 2" xfId="16269"/>
    <cellStyle name="Comma 3 6 3 6 2 2" xfId="29676"/>
    <cellStyle name="Comma 3 6 3 6 3" xfId="21989"/>
    <cellStyle name="Comma 3 6 3 7" xfId="9812"/>
    <cellStyle name="Comma 3 6 3 8" xfId="21998"/>
    <cellStyle name="Comma 3 6 4" xfId="5779"/>
    <cellStyle name="Comma 3 6 4 2" xfId="5780"/>
    <cellStyle name="Comma 3 6 4 2 2" xfId="16561"/>
    <cellStyle name="Comma 3 6 4 2 2 2" xfId="29968"/>
    <cellStyle name="Comma 3 6 4 2 3" xfId="21987"/>
    <cellStyle name="Comma 3 6 4 3" xfId="9814"/>
    <cellStyle name="Comma 3 6 4 4" xfId="21988"/>
    <cellStyle name="Comma 3 6 5" xfId="5781"/>
    <cellStyle name="Comma 3 6 5 2" xfId="5782"/>
    <cellStyle name="Comma 3 6 5 2 2" xfId="11350"/>
    <cellStyle name="Comma 3 6 5 2 3" xfId="21985"/>
    <cellStyle name="Comma 3 6 5 3" xfId="9815"/>
    <cellStyle name="Comma 3 6 5 4" xfId="21986"/>
    <cellStyle name="Comma 3 6 6" xfId="5783"/>
    <cellStyle name="Comma 3 6 6 2" xfId="5784"/>
    <cellStyle name="Comma 3 6 6 2 2" xfId="13150"/>
    <cellStyle name="Comma 3 6 6 2 3" xfId="21983"/>
    <cellStyle name="Comma 3 6 6 3" xfId="11936"/>
    <cellStyle name="Comma 3 6 6 3 2" xfId="25651"/>
    <cellStyle name="Comma 3 6 6 4" xfId="21984"/>
    <cellStyle name="Comma 3 6 7" xfId="5785"/>
    <cellStyle name="Comma 3 6 7 2" xfId="5786"/>
    <cellStyle name="Comma 3 6 7 2 2" xfId="15619"/>
    <cellStyle name="Comma 3 6 7 2 3" xfId="21981"/>
    <cellStyle name="Comma 3 6 7 3" xfId="13513"/>
    <cellStyle name="Comma 3 6 7 3 2" xfId="27062"/>
    <cellStyle name="Comma 3 6 7 4" xfId="21982"/>
    <cellStyle name="Comma 3 6 8" xfId="5787"/>
    <cellStyle name="Comma 3 6 8 2" xfId="14094"/>
    <cellStyle name="Comma 3 6 8 2 2" xfId="27643"/>
    <cellStyle name="Comma 3 6 8 3" xfId="21980"/>
    <cellStyle name="Comma 3 6 9" xfId="5788"/>
    <cellStyle name="Comma 3 6 9 2" xfId="15980"/>
    <cellStyle name="Comma 3 6 9 2 2" xfId="29387"/>
    <cellStyle name="Comma 3 6 9 3" xfId="21979"/>
    <cellStyle name="Comma 3 7" xfId="5789"/>
    <cellStyle name="Comma 3 7 2" xfId="5790"/>
    <cellStyle name="Comma 3 7 2 2" xfId="5791"/>
    <cellStyle name="Comma 3 7 2 2 2" xfId="5792"/>
    <cellStyle name="Comma 3 7 2 2 2 2" xfId="11351"/>
    <cellStyle name="Comma 3 7 2 2 2 3" xfId="21975"/>
    <cellStyle name="Comma 3 7 2 2 3" xfId="5793"/>
    <cellStyle name="Comma 3 7 2 2 3 2" xfId="16870"/>
    <cellStyle name="Comma 3 7 2 2 3 2 2" xfId="30277"/>
    <cellStyle name="Comma 3 7 2 2 3 3" xfId="21974"/>
    <cellStyle name="Comma 3 7 2 2 4" xfId="9818"/>
    <cellStyle name="Comma 3 7 2 2 5" xfId="21976"/>
    <cellStyle name="Comma 3 7 2 3" xfId="5794"/>
    <cellStyle name="Comma 3 7 2 3 2" xfId="5795"/>
    <cellStyle name="Comma 3 7 2 3 2 2" xfId="13151"/>
    <cellStyle name="Comma 3 7 2 3 2 3" xfId="21972"/>
    <cellStyle name="Comma 3 7 2 3 3" xfId="12258"/>
    <cellStyle name="Comma 3 7 2 3 3 2" xfId="25970"/>
    <cellStyle name="Comma 3 7 2 3 4" xfId="21973"/>
    <cellStyle name="Comma 3 7 2 4" xfId="5796"/>
    <cellStyle name="Comma 3 7 2 4 2" xfId="5797"/>
    <cellStyle name="Comma 3 7 2 4 2 2" xfId="15620"/>
    <cellStyle name="Comma 3 7 2 4 2 3" xfId="21970"/>
    <cellStyle name="Comma 3 7 2 4 3" xfId="13822"/>
    <cellStyle name="Comma 3 7 2 4 3 2" xfId="27371"/>
    <cellStyle name="Comma 3 7 2 4 4" xfId="21971"/>
    <cellStyle name="Comma 3 7 2 5" xfId="5798"/>
    <cellStyle name="Comma 3 7 2 5 2" xfId="14403"/>
    <cellStyle name="Comma 3 7 2 5 2 2" xfId="27952"/>
    <cellStyle name="Comma 3 7 2 5 3" xfId="21969"/>
    <cellStyle name="Comma 3 7 2 6" xfId="5799"/>
    <cellStyle name="Comma 3 7 2 6 2" xfId="16289"/>
    <cellStyle name="Comma 3 7 2 6 2 2" xfId="29696"/>
    <cellStyle name="Comma 3 7 2 6 3" xfId="21968"/>
    <cellStyle name="Comma 3 7 2 7" xfId="9817"/>
    <cellStyle name="Comma 3 7 2 8" xfId="21977"/>
    <cellStyle name="Comma 3 7 3" xfId="5800"/>
    <cellStyle name="Comma 3 7 3 2" xfId="5801"/>
    <cellStyle name="Comma 3 7 3 2 2" xfId="11352"/>
    <cellStyle name="Comma 3 7 3 2 3" xfId="21966"/>
    <cellStyle name="Comma 3 7 3 3" xfId="5802"/>
    <cellStyle name="Comma 3 7 3 3 2" xfId="16581"/>
    <cellStyle name="Comma 3 7 3 3 2 2" xfId="29988"/>
    <cellStyle name="Comma 3 7 3 3 3" xfId="21965"/>
    <cellStyle name="Comma 3 7 3 4" xfId="9819"/>
    <cellStyle name="Comma 3 7 3 5" xfId="21967"/>
    <cellStyle name="Comma 3 7 4" xfId="5803"/>
    <cellStyle name="Comma 3 7 4 2" xfId="5804"/>
    <cellStyle name="Comma 3 7 4 2 2" xfId="13152"/>
    <cellStyle name="Comma 3 7 4 2 3" xfId="21963"/>
    <cellStyle name="Comma 3 7 4 3" xfId="11956"/>
    <cellStyle name="Comma 3 7 4 3 2" xfId="25671"/>
    <cellStyle name="Comma 3 7 4 4" xfId="21964"/>
    <cellStyle name="Comma 3 7 5" xfId="5805"/>
    <cellStyle name="Comma 3 7 5 2" xfId="5806"/>
    <cellStyle name="Comma 3 7 5 2 2" xfId="15621"/>
    <cellStyle name="Comma 3 7 5 2 3" xfId="21961"/>
    <cellStyle name="Comma 3 7 5 3" xfId="13533"/>
    <cellStyle name="Comma 3 7 5 3 2" xfId="27082"/>
    <cellStyle name="Comma 3 7 5 4" xfId="21962"/>
    <cellStyle name="Comma 3 7 6" xfId="5807"/>
    <cellStyle name="Comma 3 7 6 2" xfId="14114"/>
    <cellStyle name="Comma 3 7 6 2 2" xfId="27663"/>
    <cellStyle name="Comma 3 7 6 3" xfId="21960"/>
    <cellStyle name="Comma 3 7 7" xfId="5808"/>
    <cellStyle name="Comma 3 7 7 2" xfId="16000"/>
    <cellStyle name="Comma 3 7 7 2 2" xfId="29407"/>
    <cellStyle name="Comma 3 7 7 3" xfId="21959"/>
    <cellStyle name="Comma 3 7 8" xfId="9816"/>
    <cellStyle name="Comma 3 7 9" xfId="21978"/>
    <cellStyle name="Comma 3 8" xfId="5809"/>
    <cellStyle name="Comma 3 8 2" xfId="5810"/>
    <cellStyle name="Comma 3 8 2 2" xfId="5811"/>
    <cellStyle name="Comma 3 8 2 2 2" xfId="11353"/>
    <cellStyle name="Comma 3 8 2 2 3" xfId="21956"/>
    <cellStyle name="Comma 3 8 2 3" xfId="5812"/>
    <cellStyle name="Comma 3 8 2 3 2" xfId="16726"/>
    <cellStyle name="Comma 3 8 2 3 2 2" xfId="30133"/>
    <cellStyle name="Comma 3 8 2 3 3" xfId="21955"/>
    <cellStyle name="Comma 3 8 2 4" xfId="9821"/>
    <cellStyle name="Comma 3 8 2 5" xfId="21957"/>
    <cellStyle name="Comma 3 8 3" xfId="5813"/>
    <cellStyle name="Comma 3 8 3 2" xfId="5814"/>
    <cellStyle name="Comma 3 8 3 2 2" xfId="13153"/>
    <cellStyle name="Comma 3 8 3 2 3" xfId="21953"/>
    <cellStyle name="Comma 3 8 3 3" xfId="12108"/>
    <cellStyle name="Comma 3 8 3 3 2" xfId="25820"/>
    <cellStyle name="Comma 3 8 3 4" xfId="21954"/>
    <cellStyle name="Comma 3 8 4" xfId="5815"/>
    <cellStyle name="Comma 3 8 4 2" xfId="5816"/>
    <cellStyle name="Comma 3 8 4 2 2" xfId="15622"/>
    <cellStyle name="Comma 3 8 4 2 3" xfId="21951"/>
    <cellStyle name="Comma 3 8 4 3" xfId="13678"/>
    <cellStyle name="Comma 3 8 4 3 2" xfId="27227"/>
    <cellStyle name="Comma 3 8 4 4" xfId="21952"/>
    <cellStyle name="Comma 3 8 5" xfId="5817"/>
    <cellStyle name="Comma 3 8 5 2" xfId="14259"/>
    <cellStyle name="Comma 3 8 5 2 2" xfId="27808"/>
    <cellStyle name="Comma 3 8 5 3" xfId="21950"/>
    <cellStyle name="Comma 3 8 6" xfId="5818"/>
    <cellStyle name="Comma 3 8 6 2" xfId="16145"/>
    <cellStyle name="Comma 3 8 6 2 2" xfId="29552"/>
    <cellStyle name="Comma 3 8 6 3" xfId="21949"/>
    <cellStyle name="Comma 3 8 7" xfId="9820"/>
    <cellStyle name="Comma 3 8 8" xfId="21958"/>
    <cellStyle name="Comma 3 9" xfId="5819"/>
    <cellStyle name="Comma 3 9 2" xfId="5820"/>
    <cellStyle name="Comma 3 9 2 2" xfId="5821"/>
    <cellStyle name="Comma 3 9 2 2 2" xfId="11354"/>
    <cellStyle name="Comma 3 9 2 2 3" xfId="21946"/>
    <cellStyle name="Comma 3 9 2 3" xfId="5822"/>
    <cellStyle name="Comma 3 9 2 3 2" xfId="16724"/>
    <cellStyle name="Comma 3 9 2 3 2 2" xfId="30131"/>
    <cellStyle name="Comma 3 9 2 3 3" xfId="21945"/>
    <cellStyle name="Comma 3 9 2 4" xfId="9823"/>
    <cellStyle name="Comma 3 9 2 5" xfId="21947"/>
    <cellStyle name="Comma 3 9 3" xfId="5823"/>
    <cellStyle name="Comma 3 9 3 2" xfId="5824"/>
    <cellStyle name="Comma 3 9 3 2 2" xfId="13154"/>
    <cellStyle name="Comma 3 9 3 2 3" xfId="21943"/>
    <cellStyle name="Comma 3 9 3 3" xfId="12104"/>
    <cellStyle name="Comma 3 9 3 3 2" xfId="25816"/>
    <cellStyle name="Comma 3 9 3 4" xfId="21944"/>
    <cellStyle name="Comma 3 9 4" xfId="5825"/>
    <cellStyle name="Comma 3 9 4 2" xfId="5826"/>
    <cellStyle name="Comma 3 9 4 2 2" xfId="15623"/>
    <cellStyle name="Comma 3 9 4 2 3" xfId="21941"/>
    <cellStyle name="Comma 3 9 4 3" xfId="13676"/>
    <cellStyle name="Comma 3 9 4 3 2" xfId="27225"/>
    <cellStyle name="Comma 3 9 4 4" xfId="21942"/>
    <cellStyle name="Comma 3 9 5" xfId="5827"/>
    <cellStyle name="Comma 3 9 5 2" xfId="14257"/>
    <cellStyle name="Comma 3 9 5 2 2" xfId="27806"/>
    <cellStyle name="Comma 3 9 5 3" xfId="21940"/>
    <cellStyle name="Comma 3 9 6" xfId="5828"/>
    <cellStyle name="Comma 3 9 6 2" xfId="16143"/>
    <cellStyle name="Comma 3 9 6 2 2" xfId="29550"/>
    <cellStyle name="Comma 3 9 6 3" xfId="21939"/>
    <cellStyle name="Comma 3 9 7" xfId="9822"/>
    <cellStyle name="Comma 3 9 8" xfId="21948"/>
    <cellStyle name="Comma 4" xfId="5829"/>
    <cellStyle name="Comma 4 2" xfId="5830"/>
    <cellStyle name="Comma 4 2 2" xfId="9825"/>
    <cellStyle name="Comma 4 2 3" xfId="21937"/>
    <cellStyle name="Comma 4 3" xfId="5831"/>
    <cellStyle name="Comma 4 3 2" xfId="13155"/>
    <cellStyle name="Comma 4 3 3" xfId="21936"/>
    <cellStyle name="Comma 4 4" xfId="5832"/>
    <cellStyle name="Comma 4 4 2" xfId="9824"/>
    <cellStyle name="Comma 4 4 3" xfId="21935"/>
    <cellStyle name="Comma 4 5" xfId="8667"/>
    <cellStyle name="Comma 4 6" xfId="21938"/>
    <cellStyle name="Comma 4 7" xfId="32911"/>
    <cellStyle name="Comma 4 8" xfId="33086"/>
    <cellStyle name="Comma 5" xfId="5833"/>
    <cellStyle name="Comma 5 2" xfId="5834"/>
    <cellStyle name="Comma 5 2 2" xfId="17021"/>
    <cellStyle name="Comma 5 2 2 2" xfId="30428"/>
    <cellStyle name="Comma 5 2 3" xfId="21933"/>
    <cellStyle name="Comma 5 2 4" xfId="33098"/>
    <cellStyle name="Comma 5 3" xfId="5835"/>
    <cellStyle name="Comma 5 3 2" xfId="17332"/>
    <cellStyle name="Comma 5 3 3" xfId="21932"/>
    <cellStyle name="Comma 5 4" xfId="8728"/>
    <cellStyle name="Comma 5 4 2" xfId="33100"/>
    <cellStyle name="Comma 5 5" xfId="21934"/>
    <cellStyle name="Comma 6" xfId="5836"/>
    <cellStyle name="Comma 6 2" xfId="5837"/>
    <cellStyle name="Comma 6 2 2" xfId="17022"/>
    <cellStyle name="Comma 6 2 2 2" xfId="30429"/>
    <cellStyle name="Comma 6 2 3" xfId="21930"/>
    <cellStyle name="Comma 6 3" xfId="9826"/>
    <cellStyle name="Comma 6 4" xfId="21931"/>
    <cellStyle name="Comma 7" xfId="5838"/>
    <cellStyle name="Comma 7 2" xfId="5839"/>
    <cellStyle name="Comma 7 2 2" xfId="17023"/>
    <cellStyle name="Comma 7 2 2 2" xfId="30430"/>
    <cellStyle name="Comma 7 2 3" xfId="21928"/>
    <cellStyle name="Comma 7 3" xfId="9827"/>
    <cellStyle name="Comma 7 4" xfId="21929"/>
    <cellStyle name="Comma 8" xfId="5840"/>
    <cellStyle name="Comma 8 2" xfId="5841"/>
    <cellStyle name="Comma 8 2 2" xfId="9829"/>
    <cellStyle name="Comma 8 2 3" xfId="21926"/>
    <cellStyle name="Comma 8 3" xfId="5842"/>
    <cellStyle name="Comma 8 3 2" xfId="13156"/>
    <cellStyle name="Comma 8 3 3" xfId="21925"/>
    <cellStyle name="Comma 8 4" xfId="9828"/>
    <cellStyle name="Comma 8 5" xfId="21927"/>
    <cellStyle name="Comma 9" xfId="5843"/>
    <cellStyle name="Comma 9 2" xfId="5844"/>
    <cellStyle name="Comma 9 2 2" xfId="5845"/>
    <cellStyle name="Comma 9 2 2 2" xfId="11356"/>
    <cellStyle name="Comma 9 2 2 3" xfId="21922"/>
    <cellStyle name="Comma 9 2 3" xfId="9831"/>
    <cellStyle name="Comma 9 2 4" xfId="21923"/>
    <cellStyle name="Comma 9 3" xfId="5846"/>
    <cellStyle name="Comma 9 3 2" xfId="11355"/>
    <cellStyle name="Comma 9 3 3" xfId="21921"/>
    <cellStyle name="Comma 9 4" xfId="5847"/>
    <cellStyle name="Comma 9 4 2" xfId="13157"/>
    <cellStyle name="Comma 9 4 3" xfId="21920"/>
    <cellStyle name="Comma 9 5" xfId="9830"/>
    <cellStyle name="Comma 9 6" xfId="21924"/>
    <cellStyle name="Comma0" xfId="5848"/>
    <cellStyle name="Comma0 2" xfId="5849"/>
    <cellStyle name="Comma0 2 2" xfId="5850"/>
    <cellStyle name="Comma0 2 2 2" xfId="17024"/>
    <cellStyle name="Comma0 2 2 3" xfId="21917"/>
    <cellStyle name="Comma0 2 3" xfId="8668"/>
    <cellStyle name="Comma0 2 4" xfId="21918"/>
    <cellStyle name="Comma0 3" xfId="5851"/>
    <cellStyle name="Comma0 3 2" xfId="8732"/>
    <cellStyle name="Comma0 3 2 2" xfId="17333"/>
    <cellStyle name="Comma0 3 3" xfId="17295"/>
    <cellStyle name="Comma0 3 4" xfId="9832"/>
    <cellStyle name="Comma0 3 5" xfId="21916"/>
    <cellStyle name="Comma0 4" xfId="8660"/>
    <cellStyle name="Comma0 5" xfId="21919"/>
    <cellStyle name="Currency" xfId="33110" builtinId="4"/>
    <cellStyle name="Currency 10" xfId="5852"/>
    <cellStyle name="Currency 10 2" xfId="9833"/>
    <cellStyle name="Currency 10 3" xfId="21915"/>
    <cellStyle name="Currency 11" xfId="5853"/>
    <cellStyle name="Currency 11 2" xfId="5854"/>
    <cellStyle name="Currency 11 2 2" xfId="9835"/>
    <cellStyle name="Currency 11 2 3" xfId="21913"/>
    <cellStyle name="Currency 11 3" xfId="5855"/>
    <cellStyle name="Currency 11 3 2" xfId="13158"/>
    <cellStyle name="Currency 11 3 3" xfId="21912"/>
    <cellStyle name="Currency 11 4" xfId="9834"/>
    <cellStyle name="Currency 11 5" xfId="21914"/>
    <cellStyle name="Currency 12" xfId="5856"/>
    <cellStyle name="Currency 12 2" xfId="13159"/>
    <cellStyle name="Currency 12 3" xfId="21911"/>
    <cellStyle name="Currency 2" xfId="6"/>
    <cellStyle name="Currency 2 2" xfId="5858"/>
    <cellStyle name="Currency 2 2 2" xfId="5859"/>
    <cellStyle name="Currency 2 2 2 2" xfId="9837"/>
    <cellStyle name="Currency 2 2 2 3" xfId="21908"/>
    <cellStyle name="Currency 2 2 3" xfId="5860"/>
    <cellStyle name="Currency 2 2 3 2" xfId="13160"/>
    <cellStyle name="Currency 2 2 3 3" xfId="21907"/>
    <cellStyle name="Currency 2 2 4" xfId="5861"/>
    <cellStyle name="Currency 2 2 4 2" xfId="17025"/>
    <cellStyle name="Currency 2 2 4 2 2" xfId="30432"/>
    <cellStyle name="Currency 2 2 4 3" xfId="21906"/>
    <cellStyle name="Currency 2 2 5" xfId="8679"/>
    <cellStyle name="Currency 2 2 6" xfId="21909"/>
    <cellStyle name="Currency 2 3" xfId="5862"/>
    <cellStyle name="Currency 2 3 2" xfId="5863"/>
    <cellStyle name="Currency 2 3 2 2" xfId="13161"/>
    <cellStyle name="Currency 2 3 2 3" xfId="21904"/>
    <cellStyle name="Currency 2 3 3" xfId="5864"/>
    <cellStyle name="Currency 2 3 3 2" xfId="17026"/>
    <cellStyle name="Currency 2 3 3 2 2" xfId="30433"/>
    <cellStyle name="Currency 2 3 3 3" xfId="21903"/>
    <cellStyle name="Currency 2 3 4" xfId="5865"/>
    <cellStyle name="Currency 2 3 4 2" xfId="17368"/>
    <cellStyle name="Currency 2 3 4 3" xfId="21902"/>
    <cellStyle name="Currency 2 3 5" xfId="8738"/>
    <cellStyle name="Currency 2 3 6" xfId="10516"/>
    <cellStyle name="Currency 2 3 7" xfId="21905"/>
    <cellStyle name="Currency 2 4" xfId="8653"/>
    <cellStyle name="Currency 2 4 2" xfId="9836"/>
    <cellStyle name="Currency 2 5" xfId="17301"/>
    <cellStyle name="Currency 2 6" xfId="21910"/>
    <cellStyle name="Currency 2 7" xfId="32974"/>
    <cellStyle name="Currency 2 8" xfId="5857"/>
    <cellStyle name="Currency 3" xfId="5866"/>
    <cellStyle name="Currency 3 10" xfId="5867"/>
    <cellStyle name="Currency 3 10 2" xfId="9839"/>
    <cellStyle name="Currency 3 10 3" xfId="21900"/>
    <cellStyle name="Currency 3 11" xfId="5868"/>
    <cellStyle name="Currency 3 11 2" xfId="5869"/>
    <cellStyle name="Currency 3 11 2 2" xfId="13162"/>
    <cellStyle name="Currency 3 11 2 3" xfId="21898"/>
    <cellStyle name="Currency 3 11 3" xfId="5870"/>
    <cellStyle name="Currency 3 11 3 2" xfId="17027"/>
    <cellStyle name="Currency 3 11 3 2 2" xfId="30434"/>
    <cellStyle name="Currency 3 11 3 3" xfId="21897"/>
    <cellStyle name="Currency 3 11 4" xfId="9840"/>
    <cellStyle name="Currency 3 11 5" xfId="21899"/>
    <cellStyle name="Currency 3 12" xfId="5871"/>
    <cellStyle name="Currency 3 12 2" xfId="5872"/>
    <cellStyle name="Currency 3 12 2 2" xfId="13164"/>
    <cellStyle name="Currency 3 12 2 3" xfId="21895"/>
    <cellStyle name="Currency 3 12 3" xfId="5873"/>
    <cellStyle name="Currency 3 12 3 2" xfId="13163"/>
    <cellStyle name="Currency 3 12 3 2 2" xfId="26875"/>
    <cellStyle name="Currency 3 12 3 3" xfId="21894"/>
    <cellStyle name="Currency 3 12 4" xfId="5874"/>
    <cellStyle name="Currency 3 12 4 2" xfId="17109"/>
    <cellStyle name="Currency 3 12 4 2 2" xfId="30468"/>
    <cellStyle name="Currency 3 12 4 3" xfId="21893"/>
    <cellStyle name="Currency 3 12 5" xfId="9841"/>
    <cellStyle name="Currency 3 12 6" xfId="21896"/>
    <cellStyle name="Currency 3 13" xfId="5875"/>
    <cellStyle name="Currency 3 13 2" xfId="5876"/>
    <cellStyle name="Currency 3 13 2 2" xfId="17198"/>
    <cellStyle name="Currency 3 13 2 2 2" xfId="30557"/>
    <cellStyle name="Currency 3 13 2 3" xfId="21891"/>
    <cellStyle name="Currency 3 13 3" xfId="9842"/>
    <cellStyle name="Currency 3 13 4" xfId="21892"/>
    <cellStyle name="Currency 3 14" xfId="5877"/>
    <cellStyle name="Currency 3 14 2" xfId="5878"/>
    <cellStyle name="Currency 3 14 2 2" xfId="5879"/>
    <cellStyle name="Currency 3 14 2 2 2" xfId="11359"/>
    <cellStyle name="Currency 3 14 2 2 3" xfId="21888"/>
    <cellStyle name="Currency 3 14 2 3" xfId="9844"/>
    <cellStyle name="Currency 3 14 2 4" xfId="21889"/>
    <cellStyle name="Currency 3 14 3" xfId="5880"/>
    <cellStyle name="Currency 3 14 3 2" xfId="11358"/>
    <cellStyle name="Currency 3 14 3 3" xfId="21887"/>
    <cellStyle name="Currency 3 14 4" xfId="5881"/>
    <cellStyle name="Currency 3 14 4 2" xfId="17287"/>
    <cellStyle name="Currency 3 14 4 2 2" xfId="30646"/>
    <cellStyle name="Currency 3 14 4 3" xfId="21886"/>
    <cellStyle name="Currency 3 14 5" xfId="9843"/>
    <cellStyle name="Currency 3 14 6" xfId="21890"/>
    <cellStyle name="Currency 3 15" xfId="5882"/>
    <cellStyle name="Currency 3 15 2" xfId="5883"/>
    <cellStyle name="Currency 3 15 2 2" xfId="11360"/>
    <cellStyle name="Currency 3 15 2 3" xfId="21884"/>
    <cellStyle name="Currency 3 15 3" xfId="5884"/>
    <cellStyle name="Currency 3 15 3 2" xfId="16439"/>
    <cellStyle name="Currency 3 15 3 2 2" xfId="29846"/>
    <cellStyle name="Currency 3 15 3 3" xfId="21883"/>
    <cellStyle name="Currency 3 15 4" xfId="9845"/>
    <cellStyle name="Currency 3 15 5" xfId="21885"/>
    <cellStyle name="Currency 3 16" xfId="5885"/>
    <cellStyle name="Currency 3 16 2" xfId="5886"/>
    <cellStyle name="Currency 3 16 2 2" xfId="11361"/>
    <cellStyle name="Currency 3 16 2 3" xfId="21881"/>
    <cellStyle name="Currency 3 16 3" xfId="9846"/>
    <cellStyle name="Currency 3 16 4" xfId="21882"/>
    <cellStyle name="Currency 3 17" xfId="5887"/>
    <cellStyle name="Currency 3 17 2" xfId="5888"/>
    <cellStyle name="Currency 3 17 2 2" xfId="11362"/>
    <cellStyle name="Currency 3 17 2 3" xfId="21879"/>
    <cellStyle name="Currency 3 17 3" xfId="9847"/>
    <cellStyle name="Currency 3 17 4" xfId="21880"/>
    <cellStyle name="Currency 3 18" xfId="5889"/>
    <cellStyle name="Currency 3 18 2" xfId="5890"/>
    <cellStyle name="Currency 3 18 2 2" xfId="11363"/>
    <cellStyle name="Currency 3 18 2 3" xfId="21877"/>
    <cellStyle name="Currency 3 18 3" xfId="9848"/>
    <cellStyle name="Currency 3 18 4" xfId="21878"/>
    <cellStyle name="Currency 3 19" xfId="5891"/>
    <cellStyle name="Currency 3 19 2" xfId="5892"/>
    <cellStyle name="Currency 3 19 2 2" xfId="11364"/>
    <cellStyle name="Currency 3 19 2 3" xfId="21875"/>
    <cellStyle name="Currency 3 19 3" xfId="9849"/>
    <cellStyle name="Currency 3 19 4" xfId="21876"/>
    <cellStyle name="Currency 3 2" xfId="5893"/>
    <cellStyle name="Currency 3 2 10" xfId="5894"/>
    <cellStyle name="Currency 3 2 10 2" xfId="11365"/>
    <cellStyle name="Currency 3 2 10 3" xfId="21873"/>
    <cellStyle name="Currency 3 2 11" xfId="5895"/>
    <cellStyle name="Currency 3 2 11 2" xfId="5896"/>
    <cellStyle name="Currency 3 2 11 2 2" xfId="13165"/>
    <cellStyle name="Currency 3 2 11 2 2 2" xfId="26877"/>
    <cellStyle name="Currency 3 2 11 2 3" xfId="21871"/>
    <cellStyle name="Currency 3 2 11 3" xfId="5897"/>
    <cellStyle name="Currency 3 2 11 3 2" xfId="15624"/>
    <cellStyle name="Currency 3 2 11 3 3" xfId="21870"/>
    <cellStyle name="Currency 3 2 11 4" xfId="11699"/>
    <cellStyle name="Currency 3 2 11 5" xfId="21872"/>
    <cellStyle name="Currency 3 2 12" xfId="5898"/>
    <cellStyle name="Currency 3 2 12 2" xfId="11855"/>
    <cellStyle name="Currency 3 2 12 2 2" xfId="25570"/>
    <cellStyle name="Currency 3 2 12 3" xfId="21869"/>
    <cellStyle name="Currency 3 2 13" xfId="5899"/>
    <cellStyle name="Currency 3 2 13 2" xfId="13448"/>
    <cellStyle name="Currency 3 2 13 2 2" xfId="26997"/>
    <cellStyle name="Currency 3 2 13 3" xfId="21868"/>
    <cellStyle name="Currency 3 2 14" xfId="5900"/>
    <cellStyle name="Currency 3 2 14 2" xfId="14029"/>
    <cellStyle name="Currency 3 2 14 2 2" xfId="27578"/>
    <cellStyle name="Currency 3 2 14 3" xfId="21867"/>
    <cellStyle name="Currency 3 2 15" xfId="5901"/>
    <cellStyle name="Currency 3 2 15 2" xfId="15915"/>
    <cellStyle name="Currency 3 2 15 2 2" xfId="29322"/>
    <cellStyle name="Currency 3 2 15 3" xfId="21866"/>
    <cellStyle name="Currency 3 2 16" xfId="5902"/>
    <cellStyle name="Currency 3 2 16 2" xfId="9850"/>
    <cellStyle name="Currency 3 2 16 3" xfId="21865"/>
    <cellStyle name="Currency 3 2 17" xfId="8715"/>
    <cellStyle name="Currency 3 2 18" xfId="21874"/>
    <cellStyle name="Currency 3 2 2" xfId="5903"/>
    <cellStyle name="Currency 3 2 2 10" xfId="9851"/>
    <cellStyle name="Currency 3 2 2 11" xfId="21864"/>
    <cellStyle name="Currency 3 2 2 2" xfId="5904"/>
    <cellStyle name="Currency 3 2 2 2 2" xfId="5905"/>
    <cellStyle name="Currency 3 2 2 2 2 2" xfId="5906"/>
    <cellStyle name="Currency 3 2 2 2 2 2 2" xfId="5907"/>
    <cellStyle name="Currency 3 2 2 2 2 2 2 2" xfId="11366"/>
    <cellStyle name="Currency 3 2 2 2 2 2 2 3" xfId="21860"/>
    <cellStyle name="Currency 3 2 2 2 2 2 3" xfId="5908"/>
    <cellStyle name="Currency 3 2 2 2 2 2 3 2" xfId="16974"/>
    <cellStyle name="Currency 3 2 2 2 2 2 3 2 2" xfId="30381"/>
    <cellStyle name="Currency 3 2 2 2 2 2 3 3" xfId="21859"/>
    <cellStyle name="Currency 3 2 2 2 2 2 4" xfId="9854"/>
    <cellStyle name="Currency 3 2 2 2 2 2 5" xfId="21861"/>
    <cellStyle name="Currency 3 2 2 2 2 3" xfId="5909"/>
    <cellStyle name="Currency 3 2 2 2 2 3 2" xfId="5910"/>
    <cellStyle name="Currency 3 2 2 2 2 3 2 2" xfId="13166"/>
    <cellStyle name="Currency 3 2 2 2 2 3 2 3" xfId="21857"/>
    <cellStyle name="Currency 3 2 2 2 2 3 3" xfId="12362"/>
    <cellStyle name="Currency 3 2 2 2 2 3 3 2" xfId="26074"/>
    <cellStyle name="Currency 3 2 2 2 2 3 4" xfId="21858"/>
    <cellStyle name="Currency 3 2 2 2 2 4" xfId="5911"/>
    <cellStyle name="Currency 3 2 2 2 2 4 2" xfId="5912"/>
    <cellStyle name="Currency 3 2 2 2 2 4 2 2" xfId="15625"/>
    <cellStyle name="Currency 3 2 2 2 2 4 2 3" xfId="21855"/>
    <cellStyle name="Currency 3 2 2 2 2 4 3" xfId="13926"/>
    <cellStyle name="Currency 3 2 2 2 2 4 3 2" xfId="27475"/>
    <cellStyle name="Currency 3 2 2 2 2 4 4" xfId="21856"/>
    <cellStyle name="Currency 3 2 2 2 2 5" xfId="5913"/>
    <cellStyle name="Currency 3 2 2 2 2 5 2" xfId="14507"/>
    <cellStyle name="Currency 3 2 2 2 2 5 2 2" xfId="28056"/>
    <cellStyle name="Currency 3 2 2 2 2 5 3" xfId="21854"/>
    <cellStyle name="Currency 3 2 2 2 2 6" xfId="5914"/>
    <cellStyle name="Currency 3 2 2 2 2 6 2" xfId="16393"/>
    <cellStyle name="Currency 3 2 2 2 2 6 2 2" xfId="29800"/>
    <cellStyle name="Currency 3 2 2 2 2 6 3" xfId="21853"/>
    <cellStyle name="Currency 3 2 2 2 2 7" xfId="9853"/>
    <cellStyle name="Currency 3 2 2 2 2 8" xfId="21862"/>
    <cellStyle name="Currency 3 2 2 2 3" xfId="5915"/>
    <cellStyle name="Currency 3 2 2 2 3 2" xfId="5916"/>
    <cellStyle name="Currency 3 2 2 2 3 2 2" xfId="11367"/>
    <cellStyle name="Currency 3 2 2 2 3 2 3" xfId="21851"/>
    <cellStyle name="Currency 3 2 2 2 3 3" xfId="5917"/>
    <cellStyle name="Currency 3 2 2 2 3 3 2" xfId="16685"/>
    <cellStyle name="Currency 3 2 2 2 3 3 2 2" xfId="30092"/>
    <cellStyle name="Currency 3 2 2 2 3 3 3" xfId="21850"/>
    <cellStyle name="Currency 3 2 2 2 3 4" xfId="9855"/>
    <cellStyle name="Currency 3 2 2 2 3 5" xfId="21852"/>
    <cellStyle name="Currency 3 2 2 2 4" xfId="5918"/>
    <cellStyle name="Currency 3 2 2 2 4 2" xfId="5919"/>
    <cellStyle name="Currency 3 2 2 2 4 2 2" xfId="13167"/>
    <cellStyle name="Currency 3 2 2 2 4 2 3" xfId="21848"/>
    <cellStyle name="Currency 3 2 2 2 4 3" xfId="12062"/>
    <cellStyle name="Currency 3 2 2 2 4 3 2" xfId="25777"/>
    <cellStyle name="Currency 3 2 2 2 4 4" xfId="21849"/>
    <cellStyle name="Currency 3 2 2 2 5" xfId="5920"/>
    <cellStyle name="Currency 3 2 2 2 5 2" xfId="5921"/>
    <cellStyle name="Currency 3 2 2 2 5 2 2" xfId="15626"/>
    <cellStyle name="Currency 3 2 2 2 5 2 3" xfId="21846"/>
    <cellStyle name="Currency 3 2 2 2 5 3" xfId="13637"/>
    <cellStyle name="Currency 3 2 2 2 5 3 2" xfId="27186"/>
    <cellStyle name="Currency 3 2 2 2 5 4" xfId="21847"/>
    <cellStyle name="Currency 3 2 2 2 6" xfId="5922"/>
    <cellStyle name="Currency 3 2 2 2 6 2" xfId="14218"/>
    <cellStyle name="Currency 3 2 2 2 6 2 2" xfId="27767"/>
    <cellStyle name="Currency 3 2 2 2 6 3" xfId="21845"/>
    <cellStyle name="Currency 3 2 2 2 7" xfId="5923"/>
    <cellStyle name="Currency 3 2 2 2 7 2" xfId="16104"/>
    <cellStyle name="Currency 3 2 2 2 7 2 2" xfId="29511"/>
    <cellStyle name="Currency 3 2 2 2 7 3" xfId="21844"/>
    <cellStyle name="Currency 3 2 2 2 8" xfId="9852"/>
    <cellStyle name="Currency 3 2 2 2 9" xfId="21863"/>
    <cellStyle name="Currency 3 2 2 3" xfId="5924"/>
    <cellStyle name="Currency 3 2 2 3 2" xfId="5925"/>
    <cellStyle name="Currency 3 2 2 3 2 2" xfId="5926"/>
    <cellStyle name="Currency 3 2 2 3 2 2 2" xfId="11368"/>
    <cellStyle name="Currency 3 2 2 3 2 2 3" xfId="21841"/>
    <cellStyle name="Currency 3 2 2 3 2 3" xfId="5927"/>
    <cellStyle name="Currency 3 2 2 3 2 3 2" xfId="16831"/>
    <cellStyle name="Currency 3 2 2 3 2 3 2 2" xfId="30238"/>
    <cellStyle name="Currency 3 2 2 3 2 3 3" xfId="21840"/>
    <cellStyle name="Currency 3 2 2 3 2 4" xfId="9857"/>
    <cellStyle name="Currency 3 2 2 3 2 5" xfId="21842"/>
    <cellStyle name="Currency 3 2 2 3 3" xfId="5928"/>
    <cellStyle name="Currency 3 2 2 3 3 2" xfId="5929"/>
    <cellStyle name="Currency 3 2 2 3 3 2 2" xfId="13168"/>
    <cellStyle name="Currency 3 2 2 3 3 2 3" xfId="21838"/>
    <cellStyle name="Currency 3 2 2 3 3 3" xfId="12219"/>
    <cellStyle name="Currency 3 2 2 3 3 3 2" xfId="25931"/>
    <cellStyle name="Currency 3 2 2 3 3 4" xfId="21839"/>
    <cellStyle name="Currency 3 2 2 3 4" xfId="5930"/>
    <cellStyle name="Currency 3 2 2 3 4 2" xfId="5931"/>
    <cellStyle name="Currency 3 2 2 3 4 2 2" xfId="15627"/>
    <cellStyle name="Currency 3 2 2 3 4 2 3" xfId="21836"/>
    <cellStyle name="Currency 3 2 2 3 4 3" xfId="13783"/>
    <cellStyle name="Currency 3 2 2 3 4 3 2" xfId="27332"/>
    <cellStyle name="Currency 3 2 2 3 4 4" xfId="21837"/>
    <cellStyle name="Currency 3 2 2 3 5" xfId="5932"/>
    <cellStyle name="Currency 3 2 2 3 5 2" xfId="14364"/>
    <cellStyle name="Currency 3 2 2 3 5 2 2" xfId="27913"/>
    <cellStyle name="Currency 3 2 2 3 5 3" xfId="21835"/>
    <cellStyle name="Currency 3 2 2 3 6" xfId="5933"/>
    <cellStyle name="Currency 3 2 2 3 6 2" xfId="16250"/>
    <cellStyle name="Currency 3 2 2 3 6 2 2" xfId="29657"/>
    <cellStyle name="Currency 3 2 2 3 6 3" xfId="21834"/>
    <cellStyle name="Currency 3 2 2 3 7" xfId="9856"/>
    <cellStyle name="Currency 3 2 2 3 8" xfId="21843"/>
    <cellStyle name="Currency 3 2 2 4" xfId="5934"/>
    <cellStyle name="Currency 3 2 2 4 2" xfId="5935"/>
    <cellStyle name="Currency 3 2 2 4 2 2" xfId="17178"/>
    <cellStyle name="Currency 3 2 2 4 2 2 2" xfId="30537"/>
    <cellStyle name="Currency 3 2 2 4 2 3" xfId="21832"/>
    <cellStyle name="Currency 3 2 2 4 3" xfId="9858"/>
    <cellStyle name="Currency 3 2 2 4 4" xfId="21833"/>
    <cellStyle name="Currency 3 2 2 5" xfId="5936"/>
    <cellStyle name="Currency 3 2 2 5 2" xfId="5937"/>
    <cellStyle name="Currency 3 2 2 5 2 2" xfId="11369"/>
    <cellStyle name="Currency 3 2 2 5 2 3" xfId="21830"/>
    <cellStyle name="Currency 3 2 2 5 3" xfId="5938"/>
    <cellStyle name="Currency 3 2 2 5 3 2" xfId="17267"/>
    <cellStyle name="Currency 3 2 2 5 3 2 2" xfId="30626"/>
    <cellStyle name="Currency 3 2 2 5 3 3" xfId="21829"/>
    <cellStyle name="Currency 3 2 2 5 4" xfId="9859"/>
    <cellStyle name="Currency 3 2 2 5 5" xfId="21831"/>
    <cellStyle name="Currency 3 2 2 6" xfId="5939"/>
    <cellStyle name="Currency 3 2 2 6 2" xfId="5940"/>
    <cellStyle name="Currency 3 2 2 6 2 2" xfId="13169"/>
    <cellStyle name="Currency 3 2 2 6 2 3" xfId="21827"/>
    <cellStyle name="Currency 3 2 2 6 3" xfId="5941"/>
    <cellStyle name="Currency 3 2 2 6 3 2" xfId="16542"/>
    <cellStyle name="Currency 3 2 2 6 3 2 2" xfId="29949"/>
    <cellStyle name="Currency 3 2 2 6 3 3" xfId="21826"/>
    <cellStyle name="Currency 3 2 2 6 4" xfId="11917"/>
    <cellStyle name="Currency 3 2 2 6 4 2" xfId="25632"/>
    <cellStyle name="Currency 3 2 2 6 5" xfId="21828"/>
    <cellStyle name="Currency 3 2 2 7" xfId="5942"/>
    <cellStyle name="Currency 3 2 2 7 2" xfId="5943"/>
    <cellStyle name="Currency 3 2 2 7 2 2" xfId="15628"/>
    <cellStyle name="Currency 3 2 2 7 2 3" xfId="21824"/>
    <cellStyle name="Currency 3 2 2 7 3" xfId="13494"/>
    <cellStyle name="Currency 3 2 2 7 3 2" xfId="27043"/>
    <cellStyle name="Currency 3 2 2 7 4" xfId="21825"/>
    <cellStyle name="Currency 3 2 2 8" xfId="5944"/>
    <cellStyle name="Currency 3 2 2 8 2" xfId="14075"/>
    <cellStyle name="Currency 3 2 2 8 2 2" xfId="27624"/>
    <cellStyle name="Currency 3 2 2 8 3" xfId="21823"/>
    <cellStyle name="Currency 3 2 2 9" xfId="5945"/>
    <cellStyle name="Currency 3 2 2 9 2" xfId="15961"/>
    <cellStyle name="Currency 3 2 2 9 2 2" xfId="29368"/>
    <cellStyle name="Currency 3 2 2 9 3" xfId="21822"/>
    <cellStyle name="Currency 3 2 3" xfId="5946"/>
    <cellStyle name="Currency 3 2 3 2" xfId="5947"/>
    <cellStyle name="Currency 3 2 3 2 2" xfId="5948"/>
    <cellStyle name="Currency 3 2 3 2 2 2" xfId="5949"/>
    <cellStyle name="Currency 3 2 3 2 2 2 2" xfId="11370"/>
    <cellStyle name="Currency 3 2 3 2 2 2 3" xfId="21818"/>
    <cellStyle name="Currency 3 2 3 2 2 3" xfId="5950"/>
    <cellStyle name="Currency 3 2 3 2 2 3 2" xfId="16928"/>
    <cellStyle name="Currency 3 2 3 2 2 3 2 2" xfId="30335"/>
    <cellStyle name="Currency 3 2 3 2 2 3 3" xfId="21817"/>
    <cellStyle name="Currency 3 2 3 2 2 4" xfId="9862"/>
    <cellStyle name="Currency 3 2 3 2 2 5" xfId="21819"/>
    <cellStyle name="Currency 3 2 3 2 3" xfId="5951"/>
    <cellStyle name="Currency 3 2 3 2 3 2" xfId="5952"/>
    <cellStyle name="Currency 3 2 3 2 3 2 2" xfId="13170"/>
    <cellStyle name="Currency 3 2 3 2 3 2 3" xfId="21815"/>
    <cellStyle name="Currency 3 2 3 2 3 3" xfId="12316"/>
    <cellStyle name="Currency 3 2 3 2 3 3 2" xfId="26028"/>
    <cellStyle name="Currency 3 2 3 2 3 4" xfId="21816"/>
    <cellStyle name="Currency 3 2 3 2 4" xfId="5953"/>
    <cellStyle name="Currency 3 2 3 2 4 2" xfId="5954"/>
    <cellStyle name="Currency 3 2 3 2 4 2 2" xfId="15629"/>
    <cellStyle name="Currency 3 2 3 2 4 2 3" xfId="21813"/>
    <cellStyle name="Currency 3 2 3 2 4 3" xfId="13880"/>
    <cellStyle name="Currency 3 2 3 2 4 3 2" xfId="27429"/>
    <cellStyle name="Currency 3 2 3 2 4 4" xfId="21814"/>
    <cellStyle name="Currency 3 2 3 2 5" xfId="5955"/>
    <cellStyle name="Currency 3 2 3 2 5 2" xfId="14461"/>
    <cellStyle name="Currency 3 2 3 2 5 2 2" xfId="28010"/>
    <cellStyle name="Currency 3 2 3 2 5 3" xfId="21812"/>
    <cellStyle name="Currency 3 2 3 2 6" xfId="5956"/>
    <cellStyle name="Currency 3 2 3 2 6 2" xfId="16347"/>
    <cellStyle name="Currency 3 2 3 2 6 2 2" xfId="29754"/>
    <cellStyle name="Currency 3 2 3 2 6 3" xfId="21811"/>
    <cellStyle name="Currency 3 2 3 2 7" xfId="9861"/>
    <cellStyle name="Currency 3 2 3 2 8" xfId="21820"/>
    <cellStyle name="Currency 3 2 3 3" xfId="5957"/>
    <cellStyle name="Currency 3 2 3 3 2" xfId="5958"/>
    <cellStyle name="Currency 3 2 3 3 2 2" xfId="11371"/>
    <cellStyle name="Currency 3 2 3 3 2 3" xfId="21809"/>
    <cellStyle name="Currency 3 2 3 3 3" xfId="5959"/>
    <cellStyle name="Currency 3 2 3 3 3 2" xfId="16639"/>
    <cellStyle name="Currency 3 2 3 3 3 2 2" xfId="30046"/>
    <cellStyle name="Currency 3 2 3 3 3 3" xfId="21808"/>
    <cellStyle name="Currency 3 2 3 3 4" xfId="9863"/>
    <cellStyle name="Currency 3 2 3 3 5" xfId="21810"/>
    <cellStyle name="Currency 3 2 3 4" xfId="5960"/>
    <cellStyle name="Currency 3 2 3 4 2" xfId="5961"/>
    <cellStyle name="Currency 3 2 3 4 2 2" xfId="13171"/>
    <cellStyle name="Currency 3 2 3 4 2 3" xfId="21806"/>
    <cellStyle name="Currency 3 2 3 4 3" xfId="12016"/>
    <cellStyle name="Currency 3 2 3 4 3 2" xfId="25731"/>
    <cellStyle name="Currency 3 2 3 4 4" xfId="21807"/>
    <cellStyle name="Currency 3 2 3 5" xfId="5962"/>
    <cellStyle name="Currency 3 2 3 5 2" xfId="5963"/>
    <cellStyle name="Currency 3 2 3 5 2 2" xfId="15630"/>
    <cellStyle name="Currency 3 2 3 5 2 3" xfId="21804"/>
    <cellStyle name="Currency 3 2 3 5 3" xfId="13591"/>
    <cellStyle name="Currency 3 2 3 5 3 2" xfId="27140"/>
    <cellStyle name="Currency 3 2 3 5 4" xfId="21805"/>
    <cellStyle name="Currency 3 2 3 6" xfId="5964"/>
    <cellStyle name="Currency 3 2 3 6 2" xfId="14172"/>
    <cellStyle name="Currency 3 2 3 6 2 2" xfId="27721"/>
    <cellStyle name="Currency 3 2 3 6 3" xfId="21803"/>
    <cellStyle name="Currency 3 2 3 7" xfId="5965"/>
    <cellStyle name="Currency 3 2 3 7 2" xfId="16058"/>
    <cellStyle name="Currency 3 2 3 7 2 2" xfId="29465"/>
    <cellStyle name="Currency 3 2 3 7 3" xfId="21802"/>
    <cellStyle name="Currency 3 2 3 8" xfId="9860"/>
    <cellStyle name="Currency 3 2 3 9" xfId="21821"/>
    <cellStyle name="Currency 3 2 4" xfId="5966"/>
    <cellStyle name="Currency 3 2 4 2" xfId="5967"/>
    <cellStyle name="Currency 3 2 4 2 2" xfId="5968"/>
    <cellStyle name="Currency 3 2 4 2 2 2" xfId="11372"/>
    <cellStyle name="Currency 3 2 4 2 2 3" xfId="21799"/>
    <cellStyle name="Currency 3 2 4 2 3" xfId="5969"/>
    <cellStyle name="Currency 3 2 4 2 3 2" xfId="16785"/>
    <cellStyle name="Currency 3 2 4 2 3 2 2" xfId="30192"/>
    <cellStyle name="Currency 3 2 4 2 3 3" xfId="21798"/>
    <cellStyle name="Currency 3 2 4 2 4" xfId="9865"/>
    <cellStyle name="Currency 3 2 4 2 5" xfId="21800"/>
    <cellStyle name="Currency 3 2 4 3" xfId="5970"/>
    <cellStyle name="Currency 3 2 4 3 2" xfId="5971"/>
    <cellStyle name="Currency 3 2 4 3 2 2" xfId="13172"/>
    <cellStyle name="Currency 3 2 4 3 2 3" xfId="21796"/>
    <cellStyle name="Currency 3 2 4 3 3" xfId="12173"/>
    <cellStyle name="Currency 3 2 4 3 3 2" xfId="25885"/>
    <cellStyle name="Currency 3 2 4 3 4" xfId="21797"/>
    <cellStyle name="Currency 3 2 4 4" xfId="5972"/>
    <cellStyle name="Currency 3 2 4 4 2" xfId="5973"/>
    <cellStyle name="Currency 3 2 4 4 2 2" xfId="15631"/>
    <cellStyle name="Currency 3 2 4 4 2 3" xfId="21794"/>
    <cellStyle name="Currency 3 2 4 4 3" xfId="13737"/>
    <cellStyle name="Currency 3 2 4 4 3 2" xfId="27286"/>
    <cellStyle name="Currency 3 2 4 4 4" xfId="21795"/>
    <cellStyle name="Currency 3 2 4 5" xfId="5974"/>
    <cellStyle name="Currency 3 2 4 5 2" xfId="14318"/>
    <cellStyle name="Currency 3 2 4 5 2 2" xfId="27867"/>
    <cellStyle name="Currency 3 2 4 5 3" xfId="21793"/>
    <cellStyle name="Currency 3 2 4 6" xfId="5975"/>
    <cellStyle name="Currency 3 2 4 6 2" xfId="16204"/>
    <cellStyle name="Currency 3 2 4 6 2 2" xfId="29611"/>
    <cellStyle name="Currency 3 2 4 6 3" xfId="21792"/>
    <cellStyle name="Currency 3 2 4 7" xfId="9864"/>
    <cellStyle name="Currency 3 2 4 8" xfId="21801"/>
    <cellStyle name="Currency 3 2 5" xfId="5976"/>
    <cellStyle name="Currency 3 2 5 2" xfId="5977"/>
    <cellStyle name="Currency 3 2 5 2 2" xfId="5978"/>
    <cellStyle name="Currency 3 2 5 2 2 2" xfId="11374"/>
    <cellStyle name="Currency 3 2 5 2 2 3" xfId="21789"/>
    <cellStyle name="Currency 3 2 5 2 3" xfId="9867"/>
    <cellStyle name="Currency 3 2 5 2 4" xfId="21790"/>
    <cellStyle name="Currency 3 2 5 3" xfId="5979"/>
    <cellStyle name="Currency 3 2 5 3 2" xfId="11373"/>
    <cellStyle name="Currency 3 2 5 3 3" xfId="21788"/>
    <cellStyle name="Currency 3 2 5 4" xfId="5980"/>
    <cellStyle name="Currency 3 2 5 4 2" xfId="17028"/>
    <cellStyle name="Currency 3 2 5 4 2 2" xfId="30435"/>
    <cellStyle name="Currency 3 2 5 4 3" xfId="21787"/>
    <cellStyle name="Currency 3 2 5 5" xfId="9866"/>
    <cellStyle name="Currency 3 2 5 6" xfId="21791"/>
    <cellStyle name="Currency 3 2 6" xfId="5981"/>
    <cellStyle name="Currency 3 2 6 2" xfId="5982"/>
    <cellStyle name="Currency 3 2 6 2 2" xfId="17132"/>
    <cellStyle name="Currency 3 2 6 2 2 2" xfId="30491"/>
    <cellStyle name="Currency 3 2 6 2 3" xfId="21785"/>
    <cellStyle name="Currency 3 2 6 3" xfId="9868"/>
    <cellStyle name="Currency 3 2 6 4" xfId="21786"/>
    <cellStyle name="Currency 3 2 7" xfId="5983"/>
    <cellStyle name="Currency 3 2 7 2" xfId="5984"/>
    <cellStyle name="Currency 3 2 7 2 2" xfId="11375"/>
    <cellStyle name="Currency 3 2 7 2 3" xfId="21783"/>
    <cellStyle name="Currency 3 2 7 3" xfId="5985"/>
    <cellStyle name="Currency 3 2 7 3 2" xfId="17221"/>
    <cellStyle name="Currency 3 2 7 3 2 2" xfId="30580"/>
    <cellStyle name="Currency 3 2 7 3 3" xfId="21782"/>
    <cellStyle name="Currency 3 2 7 4" xfId="9869"/>
    <cellStyle name="Currency 3 2 7 5" xfId="21784"/>
    <cellStyle name="Currency 3 2 8" xfId="5986"/>
    <cellStyle name="Currency 3 2 8 2" xfId="5987"/>
    <cellStyle name="Currency 3 2 8 2 2" xfId="11376"/>
    <cellStyle name="Currency 3 2 8 2 3" xfId="21780"/>
    <cellStyle name="Currency 3 2 8 3" xfId="5988"/>
    <cellStyle name="Currency 3 2 8 3 2" xfId="16496"/>
    <cellStyle name="Currency 3 2 8 3 2 2" xfId="29903"/>
    <cellStyle name="Currency 3 2 8 3 3" xfId="21779"/>
    <cellStyle name="Currency 3 2 8 4" xfId="9870"/>
    <cellStyle name="Currency 3 2 8 5" xfId="21781"/>
    <cellStyle name="Currency 3 2 9" xfId="5989"/>
    <cellStyle name="Currency 3 2 9 2" xfId="5990"/>
    <cellStyle name="Currency 3 2 9 2 2" xfId="13173"/>
    <cellStyle name="Currency 3 2 9 2 2 2" xfId="26878"/>
    <cellStyle name="Currency 3 2 9 2 3" xfId="21777"/>
    <cellStyle name="Currency 3 2 9 3" xfId="5991"/>
    <cellStyle name="Currency 3 2 9 3 2" xfId="15632"/>
    <cellStyle name="Currency 3 2 9 3 3" xfId="21776"/>
    <cellStyle name="Currency 3 2 9 4" xfId="10541"/>
    <cellStyle name="Currency 3 2 9 4 2" xfId="24483"/>
    <cellStyle name="Currency 3 2 9 5" xfId="21778"/>
    <cellStyle name="Currency 3 20" xfId="5992"/>
    <cellStyle name="Currency 3 20 2" xfId="5993"/>
    <cellStyle name="Currency 3 20 2 2" xfId="11377"/>
    <cellStyle name="Currency 3 20 2 3" xfId="21774"/>
    <cellStyle name="Currency 3 20 3" xfId="9871"/>
    <cellStyle name="Currency 3 20 4" xfId="21775"/>
    <cellStyle name="Currency 3 21" xfId="5994"/>
    <cellStyle name="Currency 3 21 2" xfId="5995"/>
    <cellStyle name="Currency 3 21 2 2" xfId="11723"/>
    <cellStyle name="Currency 3 21 2 2 2" xfId="25443"/>
    <cellStyle name="Currency 3 21 2 3" xfId="21772"/>
    <cellStyle name="Currency 3 21 3" xfId="5996"/>
    <cellStyle name="Currency 3 21 3 2" xfId="13174"/>
    <cellStyle name="Currency 3 21 3 2 2" xfId="26879"/>
    <cellStyle name="Currency 3 21 3 3" xfId="21771"/>
    <cellStyle name="Currency 3 21 4" xfId="5997"/>
    <cellStyle name="Currency 3 21 4 2" xfId="15633"/>
    <cellStyle name="Currency 3 21 4 3" xfId="21770"/>
    <cellStyle name="Currency 3 21 5" xfId="10488"/>
    <cellStyle name="Currency 3 21 5 2" xfId="24447"/>
    <cellStyle name="Currency 3 21 6" xfId="21773"/>
    <cellStyle name="Currency 3 22" xfId="5998"/>
    <cellStyle name="Currency 3 22 2" xfId="5999"/>
    <cellStyle name="Currency 3 22 2 2" xfId="13175"/>
    <cellStyle name="Currency 3 22 2 2 2" xfId="26880"/>
    <cellStyle name="Currency 3 22 2 3" xfId="21768"/>
    <cellStyle name="Currency 3 22 3" xfId="6000"/>
    <cellStyle name="Currency 3 22 3 2" xfId="15634"/>
    <cellStyle name="Currency 3 22 3 3" xfId="21767"/>
    <cellStyle name="Currency 3 22 4" xfId="10518"/>
    <cellStyle name="Currency 3 22 4 2" xfId="24466"/>
    <cellStyle name="Currency 3 22 5" xfId="21769"/>
    <cellStyle name="Currency 3 23" xfId="6001"/>
    <cellStyle name="Currency 3 23 2" xfId="11357"/>
    <cellStyle name="Currency 3 23 3" xfId="21766"/>
    <cellStyle name="Currency 3 24" xfId="6002"/>
    <cellStyle name="Currency 3 24 2" xfId="11763"/>
    <cellStyle name="Currency 3 24 2 2" xfId="25478"/>
    <cellStyle name="Currency 3 24 3" xfId="21765"/>
    <cellStyle name="Currency 3 25" xfId="6003"/>
    <cellStyle name="Currency 3 25 2" xfId="13391"/>
    <cellStyle name="Currency 3 25 2 2" xfId="26940"/>
    <cellStyle name="Currency 3 25 3" xfId="21764"/>
    <cellStyle name="Currency 3 26" xfId="6004"/>
    <cellStyle name="Currency 3 26 2" xfId="13972"/>
    <cellStyle name="Currency 3 26 2 2" xfId="27521"/>
    <cellStyle name="Currency 3 26 3" xfId="21763"/>
    <cellStyle name="Currency 3 27" xfId="6005"/>
    <cellStyle name="Currency 3 27 2" xfId="15828"/>
    <cellStyle name="Currency 3 27 2 2" xfId="29235"/>
    <cellStyle name="Currency 3 27 3" xfId="21762"/>
    <cellStyle name="Currency 3 28" xfId="6006"/>
    <cellStyle name="Currency 3 28 2" xfId="15858"/>
    <cellStyle name="Currency 3 28 2 2" xfId="29265"/>
    <cellStyle name="Currency 3 28 3" xfId="21761"/>
    <cellStyle name="Currency 3 29" xfId="8656"/>
    <cellStyle name="Currency 3 29 2" xfId="9838"/>
    <cellStyle name="Currency 3 3" xfId="6007"/>
    <cellStyle name="Currency 3 3 10" xfId="6008"/>
    <cellStyle name="Currency 3 3 10 2" xfId="17334"/>
    <cellStyle name="Currency 3 3 10 3" xfId="21759"/>
    <cellStyle name="Currency 3 3 11" xfId="8735"/>
    <cellStyle name="Currency 3 3 12" xfId="9872"/>
    <cellStyle name="Currency 3 3 13" xfId="21760"/>
    <cellStyle name="Currency 3 3 2" xfId="6009"/>
    <cellStyle name="Currency 3 3 2 2" xfId="6010"/>
    <cellStyle name="Currency 3 3 2 2 2" xfId="6011"/>
    <cellStyle name="Currency 3 3 2 2 2 2" xfId="6012"/>
    <cellStyle name="Currency 3 3 2 2 2 2 2" xfId="11378"/>
    <cellStyle name="Currency 3 3 2 2 2 2 3" xfId="21755"/>
    <cellStyle name="Currency 3 3 2 2 2 3" xfId="6013"/>
    <cellStyle name="Currency 3 3 2 2 2 3 2" xfId="16951"/>
    <cellStyle name="Currency 3 3 2 2 2 3 2 2" xfId="30358"/>
    <cellStyle name="Currency 3 3 2 2 2 3 3" xfId="21754"/>
    <cellStyle name="Currency 3 3 2 2 2 4" xfId="9875"/>
    <cellStyle name="Currency 3 3 2 2 2 5" xfId="21756"/>
    <cellStyle name="Currency 3 3 2 2 3" xfId="6014"/>
    <cellStyle name="Currency 3 3 2 2 3 2" xfId="6015"/>
    <cellStyle name="Currency 3 3 2 2 3 2 2" xfId="13176"/>
    <cellStyle name="Currency 3 3 2 2 3 2 3" xfId="21752"/>
    <cellStyle name="Currency 3 3 2 2 3 3" xfId="12339"/>
    <cellStyle name="Currency 3 3 2 2 3 3 2" xfId="26051"/>
    <cellStyle name="Currency 3 3 2 2 3 4" xfId="21753"/>
    <cellStyle name="Currency 3 3 2 2 4" xfId="6016"/>
    <cellStyle name="Currency 3 3 2 2 4 2" xfId="6017"/>
    <cellStyle name="Currency 3 3 2 2 4 2 2" xfId="15635"/>
    <cellStyle name="Currency 3 3 2 2 4 2 3" xfId="21750"/>
    <cellStyle name="Currency 3 3 2 2 4 3" xfId="13903"/>
    <cellStyle name="Currency 3 3 2 2 4 3 2" xfId="27452"/>
    <cellStyle name="Currency 3 3 2 2 4 4" xfId="21751"/>
    <cellStyle name="Currency 3 3 2 2 5" xfId="6018"/>
    <cellStyle name="Currency 3 3 2 2 5 2" xfId="14484"/>
    <cellStyle name="Currency 3 3 2 2 5 2 2" xfId="28033"/>
    <cellStyle name="Currency 3 3 2 2 5 3" xfId="21749"/>
    <cellStyle name="Currency 3 3 2 2 6" xfId="6019"/>
    <cellStyle name="Currency 3 3 2 2 6 2" xfId="16370"/>
    <cellStyle name="Currency 3 3 2 2 6 2 2" xfId="29777"/>
    <cellStyle name="Currency 3 3 2 2 6 3" xfId="21748"/>
    <cellStyle name="Currency 3 3 2 2 7" xfId="9874"/>
    <cellStyle name="Currency 3 3 2 2 8" xfId="21757"/>
    <cellStyle name="Currency 3 3 2 3" xfId="6020"/>
    <cellStyle name="Currency 3 3 2 3 2" xfId="6021"/>
    <cellStyle name="Currency 3 3 2 3 2 2" xfId="11379"/>
    <cellStyle name="Currency 3 3 2 3 2 3" xfId="21746"/>
    <cellStyle name="Currency 3 3 2 3 3" xfId="6022"/>
    <cellStyle name="Currency 3 3 2 3 3 2" xfId="16662"/>
    <cellStyle name="Currency 3 3 2 3 3 2 2" xfId="30069"/>
    <cellStyle name="Currency 3 3 2 3 3 3" xfId="21745"/>
    <cellStyle name="Currency 3 3 2 3 4" xfId="9876"/>
    <cellStyle name="Currency 3 3 2 3 5" xfId="21747"/>
    <cellStyle name="Currency 3 3 2 4" xfId="6023"/>
    <cellStyle name="Currency 3 3 2 4 2" xfId="6024"/>
    <cellStyle name="Currency 3 3 2 4 2 2" xfId="13177"/>
    <cellStyle name="Currency 3 3 2 4 2 3" xfId="21743"/>
    <cellStyle name="Currency 3 3 2 4 3" xfId="12039"/>
    <cellStyle name="Currency 3 3 2 4 3 2" xfId="25754"/>
    <cellStyle name="Currency 3 3 2 4 4" xfId="21744"/>
    <cellStyle name="Currency 3 3 2 5" xfId="6025"/>
    <cellStyle name="Currency 3 3 2 5 2" xfId="6026"/>
    <cellStyle name="Currency 3 3 2 5 2 2" xfId="15636"/>
    <cellStyle name="Currency 3 3 2 5 2 3" xfId="21741"/>
    <cellStyle name="Currency 3 3 2 5 3" xfId="13614"/>
    <cellStyle name="Currency 3 3 2 5 3 2" xfId="27163"/>
    <cellStyle name="Currency 3 3 2 5 4" xfId="21742"/>
    <cellStyle name="Currency 3 3 2 6" xfId="6027"/>
    <cellStyle name="Currency 3 3 2 6 2" xfId="14195"/>
    <cellStyle name="Currency 3 3 2 6 2 2" xfId="27744"/>
    <cellStyle name="Currency 3 3 2 6 3" xfId="21740"/>
    <cellStyle name="Currency 3 3 2 7" xfId="6028"/>
    <cellStyle name="Currency 3 3 2 7 2" xfId="16081"/>
    <cellStyle name="Currency 3 3 2 7 2 2" xfId="29488"/>
    <cellStyle name="Currency 3 3 2 7 3" xfId="21739"/>
    <cellStyle name="Currency 3 3 2 8" xfId="9873"/>
    <cellStyle name="Currency 3 3 2 9" xfId="21758"/>
    <cellStyle name="Currency 3 3 3" xfId="6029"/>
    <cellStyle name="Currency 3 3 3 2" xfId="6030"/>
    <cellStyle name="Currency 3 3 3 2 2" xfId="6031"/>
    <cellStyle name="Currency 3 3 3 2 2 2" xfId="11380"/>
    <cellStyle name="Currency 3 3 3 2 2 3" xfId="21736"/>
    <cellStyle name="Currency 3 3 3 2 3" xfId="6032"/>
    <cellStyle name="Currency 3 3 3 2 3 2" xfId="16808"/>
    <cellStyle name="Currency 3 3 3 2 3 2 2" xfId="30215"/>
    <cellStyle name="Currency 3 3 3 2 3 3" xfId="21735"/>
    <cellStyle name="Currency 3 3 3 2 4" xfId="9878"/>
    <cellStyle name="Currency 3 3 3 2 5" xfId="21737"/>
    <cellStyle name="Currency 3 3 3 3" xfId="6033"/>
    <cellStyle name="Currency 3 3 3 3 2" xfId="6034"/>
    <cellStyle name="Currency 3 3 3 3 2 2" xfId="13178"/>
    <cellStyle name="Currency 3 3 3 3 2 3" xfId="21733"/>
    <cellStyle name="Currency 3 3 3 3 3" xfId="12196"/>
    <cellStyle name="Currency 3 3 3 3 3 2" xfId="25908"/>
    <cellStyle name="Currency 3 3 3 3 4" xfId="21734"/>
    <cellStyle name="Currency 3 3 3 4" xfId="6035"/>
    <cellStyle name="Currency 3 3 3 4 2" xfId="6036"/>
    <cellStyle name="Currency 3 3 3 4 2 2" xfId="15637"/>
    <cellStyle name="Currency 3 3 3 4 2 3" xfId="21731"/>
    <cellStyle name="Currency 3 3 3 4 3" xfId="13760"/>
    <cellStyle name="Currency 3 3 3 4 3 2" xfId="27309"/>
    <cellStyle name="Currency 3 3 3 4 4" xfId="21732"/>
    <cellStyle name="Currency 3 3 3 5" xfId="6037"/>
    <cellStyle name="Currency 3 3 3 5 2" xfId="14341"/>
    <cellStyle name="Currency 3 3 3 5 2 2" xfId="27890"/>
    <cellStyle name="Currency 3 3 3 5 3" xfId="21730"/>
    <cellStyle name="Currency 3 3 3 6" xfId="6038"/>
    <cellStyle name="Currency 3 3 3 6 2" xfId="16227"/>
    <cellStyle name="Currency 3 3 3 6 2 2" xfId="29634"/>
    <cellStyle name="Currency 3 3 3 6 3" xfId="21729"/>
    <cellStyle name="Currency 3 3 3 7" xfId="9877"/>
    <cellStyle name="Currency 3 3 3 8" xfId="21738"/>
    <cellStyle name="Currency 3 3 4" xfId="6039"/>
    <cellStyle name="Currency 3 3 4 2" xfId="6040"/>
    <cellStyle name="Currency 3 3 4 2 2" xfId="13179"/>
    <cellStyle name="Currency 3 3 4 2 3" xfId="21727"/>
    <cellStyle name="Currency 3 3 4 3" xfId="6041"/>
    <cellStyle name="Currency 3 3 4 3 2" xfId="17029"/>
    <cellStyle name="Currency 3 3 4 3 3" xfId="21726"/>
    <cellStyle name="Currency 3 3 4 4" xfId="9879"/>
    <cellStyle name="Currency 3 3 4 5" xfId="21728"/>
    <cellStyle name="Currency 3 3 5" xfId="6042"/>
    <cellStyle name="Currency 3 3 5 2" xfId="6043"/>
    <cellStyle name="Currency 3 3 5 2 2" xfId="11381"/>
    <cellStyle name="Currency 3 3 5 2 3" xfId="21724"/>
    <cellStyle name="Currency 3 3 5 3" xfId="6044"/>
    <cellStyle name="Currency 3 3 5 3 2" xfId="17155"/>
    <cellStyle name="Currency 3 3 5 3 2 2" xfId="30514"/>
    <cellStyle name="Currency 3 3 5 3 3" xfId="21723"/>
    <cellStyle name="Currency 3 3 5 4" xfId="9880"/>
    <cellStyle name="Currency 3 3 5 5" xfId="21725"/>
    <cellStyle name="Currency 3 3 6" xfId="6045"/>
    <cellStyle name="Currency 3 3 6 2" xfId="6046"/>
    <cellStyle name="Currency 3 3 6 2 2" xfId="15638"/>
    <cellStyle name="Currency 3 3 6 2 3" xfId="21721"/>
    <cellStyle name="Currency 3 3 6 3" xfId="6047"/>
    <cellStyle name="Currency 3 3 6 3 2" xfId="17244"/>
    <cellStyle name="Currency 3 3 6 3 2 2" xfId="30603"/>
    <cellStyle name="Currency 3 3 6 3 3" xfId="21720"/>
    <cellStyle name="Currency 3 3 6 4" xfId="11892"/>
    <cellStyle name="Currency 3 3 6 4 2" xfId="25607"/>
    <cellStyle name="Currency 3 3 6 5" xfId="21722"/>
    <cellStyle name="Currency 3 3 7" xfId="6048"/>
    <cellStyle name="Currency 3 3 7 2" xfId="6049"/>
    <cellStyle name="Currency 3 3 7 2 2" xfId="16519"/>
    <cellStyle name="Currency 3 3 7 2 2 2" xfId="29926"/>
    <cellStyle name="Currency 3 3 7 2 3" xfId="21718"/>
    <cellStyle name="Currency 3 3 7 3" xfId="13471"/>
    <cellStyle name="Currency 3 3 7 3 2" xfId="27020"/>
    <cellStyle name="Currency 3 3 7 4" xfId="21719"/>
    <cellStyle name="Currency 3 3 8" xfId="6050"/>
    <cellStyle name="Currency 3 3 8 2" xfId="14052"/>
    <cellStyle name="Currency 3 3 8 2 2" xfId="27601"/>
    <cellStyle name="Currency 3 3 8 3" xfId="21717"/>
    <cellStyle name="Currency 3 3 9" xfId="6051"/>
    <cellStyle name="Currency 3 3 9 2" xfId="15938"/>
    <cellStyle name="Currency 3 3 9 2 2" xfId="29345"/>
    <cellStyle name="Currency 3 3 9 3" xfId="21716"/>
    <cellStyle name="Currency 3 30" xfId="21901"/>
    <cellStyle name="Currency 3 4" xfId="6052"/>
    <cellStyle name="Currency 3 4 10" xfId="9881"/>
    <cellStyle name="Currency 3 4 11" xfId="21715"/>
    <cellStyle name="Currency 3 4 2" xfId="6053"/>
    <cellStyle name="Currency 3 4 2 2" xfId="6054"/>
    <cellStyle name="Currency 3 4 2 2 2" xfId="6055"/>
    <cellStyle name="Currency 3 4 2 2 2 2" xfId="6056"/>
    <cellStyle name="Currency 3 4 2 2 2 2 2" xfId="11382"/>
    <cellStyle name="Currency 3 4 2 2 2 2 3" xfId="21711"/>
    <cellStyle name="Currency 3 4 2 2 2 3" xfId="6057"/>
    <cellStyle name="Currency 3 4 2 2 2 3 2" xfId="16905"/>
    <cellStyle name="Currency 3 4 2 2 2 3 2 2" xfId="30312"/>
    <cellStyle name="Currency 3 4 2 2 2 3 3" xfId="21710"/>
    <cellStyle name="Currency 3 4 2 2 2 4" xfId="9884"/>
    <cellStyle name="Currency 3 4 2 2 2 5" xfId="21712"/>
    <cellStyle name="Currency 3 4 2 2 3" xfId="6058"/>
    <cellStyle name="Currency 3 4 2 2 3 2" xfId="6059"/>
    <cellStyle name="Currency 3 4 2 2 3 2 2" xfId="13180"/>
    <cellStyle name="Currency 3 4 2 2 3 2 3" xfId="21708"/>
    <cellStyle name="Currency 3 4 2 2 3 3" xfId="12293"/>
    <cellStyle name="Currency 3 4 2 2 3 3 2" xfId="26005"/>
    <cellStyle name="Currency 3 4 2 2 3 4" xfId="21709"/>
    <cellStyle name="Currency 3 4 2 2 4" xfId="6060"/>
    <cellStyle name="Currency 3 4 2 2 4 2" xfId="6061"/>
    <cellStyle name="Currency 3 4 2 2 4 2 2" xfId="15639"/>
    <cellStyle name="Currency 3 4 2 2 4 2 3" xfId="21706"/>
    <cellStyle name="Currency 3 4 2 2 4 3" xfId="13857"/>
    <cellStyle name="Currency 3 4 2 2 4 3 2" xfId="27406"/>
    <cellStyle name="Currency 3 4 2 2 4 4" xfId="21707"/>
    <cellStyle name="Currency 3 4 2 2 5" xfId="6062"/>
    <cellStyle name="Currency 3 4 2 2 5 2" xfId="14438"/>
    <cellStyle name="Currency 3 4 2 2 5 2 2" xfId="27987"/>
    <cellStyle name="Currency 3 4 2 2 5 3" xfId="21705"/>
    <cellStyle name="Currency 3 4 2 2 6" xfId="6063"/>
    <cellStyle name="Currency 3 4 2 2 6 2" xfId="16324"/>
    <cellStyle name="Currency 3 4 2 2 6 2 2" xfId="29731"/>
    <cellStyle name="Currency 3 4 2 2 6 3" xfId="21704"/>
    <cellStyle name="Currency 3 4 2 2 7" xfId="9883"/>
    <cellStyle name="Currency 3 4 2 2 8" xfId="21713"/>
    <cellStyle name="Currency 3 4 2 3" xfId="6064"/>
    <cellStyle name="Currency 3 4 2 3 2" xfId="6065"/>
    <cellStyle name="Currency 3 4 2 3 2 2" xfId="11383"/>
    <cellStyle name="Currency 3 4 2 3 2 3" xfId="21702"/>
    <cellStyle name="Currency 3 4 2 3 3" xfId="6066"/>
    <cellStyle name="Currency 3 4 2 3 3 2" xfId="16616"/>
    <cellStyle name="Currency 3 4 2 3 3 2 2" xfId="30023"/>
    <cellStyle name="Currency 3 4 2 3 3 3" xfId="21701"/>
    <cellStyle name="Currency 3 4 2 3 4" xfId="9885"/>
    <cellStyle name="Currency 3 4 2 3 5" xfId="21703"/>
    <cellStyle name="Currency 3 4 2 4" xfId="6067"/>
    <cellStyle name="Currency 3 4 2 4 2" xfId="6068"/>
    <cellStyle name="Currency 3 4 2 4 2 2" xfId="13181"/>
    <cellStyle name="Currency 3 4 2 4 2 3" xfId="21699"/>
    <cellStyle name="Currency 3 4 2 4 3" xfId="11993"/>
    <cellStyle name="Currency 3 4 2 4 3 2" xfId="25708"/>
    <cellStyle name="Currency 3 4 2 4 4" xfId="21700"/>
    <cellStyle name="Currency 3 4 2 5" xfId="6069"/>
    <cellStyle name="Currency 3 4 2 5 2" xfId="6070"/>
    <cellStyle name="Currency 3 4 2 5 2 2" xfId="15640"/>
    <cellStyle name="Currency 3 4 2 5 2 3" xfId="21697"/>
    <cellStyle name="Currency 3 4 2 5 3" xfId="13568"/>
    <cellStyle name="Currency 3 4 2 5 3 2" xfId="27117"/>
    <cellStyle name="Currency 3 4 2 5 4" xfId="21698"/>
    <cellStyle name="Currency 3 4 2 6" xfId="6071"/>
    <cellStyle name="Currency 3 4 2 6 2" xfId="14149"/>
    <cellStyle name="Currency 3 4 2 6 2 2" xfId="27698"/>
    <cellStyle name="Currency 3 4 2 6 3" xfId="21696"/>
    <cellStyle name="Currency 3 4 2 7" xfId="6072"/>
    <cellStyle name="Currency 3 4 2 7 2" xfId="16035"/>
    <cellStyle name="Currency 3 4 2 7 2 2" xfId="29442"/>
    <cellStyle name="Currency 3 4 2 7 3" xfId="21695"/>
    <cellStyle name="Currency 3 4 2 8" xfId="9882"/>
    <cellStyle name="Currency 3 4 2 9" xfId="21714"/>
    <cellStyle name="Currency 3 4 3" xfId="6073"/>
    <cellStyle name="Currency 3 4 3 2" xfId="6074"/>
    <cellStyle name="Currency 3 4 3 2 2" xfId="6075"/>
    <cellStyle name="Currency 3 4 3 2 2 2" xfId="11384"/>
    <cellStyle name="Currency 3 4 3 2 2 3" xfId="21692"/>
    <cellStyle name="Currency 3 4 3 2 3" xfId="6076"/>
    <cellStyle name="Currency 3 4 3 2 3 2" xfId="16765"/>
    <cellStyle name="Currency 3 4 3 2 3 2 2" xfId="30172"/>
    <cellStyle name="Currency 3 4 3 2 3 3" xfId="21691"/>
    <cellStyle name="Currency 3 4 3 2 4" xfId="9887"/>
    <cellStyle name="Currency 3 4 3 2 5" xfId="21693"/>
    <cellStyle name="Currency 3 4 3 3" xfId="6077"/>
    <cellStyle name="Currency 3 4 3 3 2" xfId="6078"/>
    <cellStyle name="Currency 3 4 3 3 2 2" xfId="13182"/>
    <cellStyle name="Currency 3 4 3 3 2 3" xfId="21689"/>
    <cellStyle name="Currency 3 4 3 3 3" xfId="12153"/>
    <cellStyle name="Currency 3 4 3 3 3 2" xfId="25865"/>
    <cellStyle name="Currency 3 4 3 3 4" xfId="21690"/>
    <cellStyle name="Currency 3 4 3 4" xfId="6079"/>
    <cellStyle name="Currency 3 4 3 4 2" xfId="6080"/>
    <cellStyle name="Currency 3 4 3 4 2 2" xfId="15641"/>
    <cellStyle name="Currency 3 4 3 4 2 3" xfId="21687"/>
    <cellStyle name="Currency 3 4 3 4 3" xfId="13717"/>
    <cellStyle name="Currency 3 4 3 4 3 2" xfId="27266"/>
    <cellStyle name="Currency 3 4 3 4 4" xfId="21688"/>
    <cellStyle name="Currency 3 4 3 5" xfId="6081"/>
    <cellStyle name="Currency 3 4 3 5 2" xfId="14298"/>
    <cellStyle name="Currency 3 4 3 5 2 2" xfId="27847"/>
    <cellStyle name="Currency 3 4 3 5 3" xfId="21686"/>
    <cellStyle name="Currency 3 4 3 6" xfId="6082"/>
    <cellStyle name="Currency 3 4 3 6 2" xfId="16184"/>
    <cellStyle name="Currency 3 4 3 6 2 2" xfId="29591"/>
    <cellStyle name="Currency 3 4 3 6 3" xfId="21685"/>
    <cellStyle name="Currency 3 4 3 7" xfId="9886"/>
    <cellStyle name="Currency 3 4 3 8" xfId="21694"/>
    <cellStyle name="Currency 3 4 4" xfId="6083"/>
    <cellStyle name="Currency 3 4 4 2" xfId="6084"/>
    <cellStyle name="Currency 3 4 4 2 2" xfId="16473"/>
    <cellStyle name="Currency 3 4 4 2 2 2" xfId="29880"/>
    <cellStyle name="Currency 3 4 4 2 3" xfId="21683"/>
    <cellStyle name="Currency 3 4 4 3" xfId="9888"/>
    <cellStyle name="Currency 3 4 4 4" xfId="21684"/>
    <cellStyle name="Currency 3 4 5" xfId="6085"/>
    <cellStyle name="Currency 3 4 5 2" xfId="6086"/>
    <cellStyle name="Currency 3 4 5 2 2" xfId="11385"/>
    <cellStyle name="Currency 3 4 5 2 3" xfId="21681"/>
    <cellStyle name="Currency 3 4 5 3" xfId="9889"/>
    <cellStyle name="Currency 3 4 5 4" xfId="21682"/>
    <cellStyle name="Currency 3 4 6" xfId="6087"/>
    <cellStyle name="Currency 3 4 6 2" xfId="6088"/>
    <cellStyle name="Currency 3 4 6 2 2" xfId="13183"/>
    <cellStyle name="Currency 3 4 6 2 3" xfId="21679"/>
    <cellStyle name="Currency 3 4 6 3" xfId="11824"/>
    <cellStyle name="Currency 3 4 6 3 2" xfId="25539"/>
    <cellStyle name="Currency 3 4 6 4" xfId="21680"/>
    <cellStyle name="Currency 3 4 7" xfId="6089"/>
    <cellStyle name="Currency 3 4 7 2" xfId="6090"/>
    <cellStyle name="Currency 3 4 7 2 2" xfId="15642"/>
    <cellStyle name="Currency 3 4 7 2 3" xfId="21677"/>
    <cellStyle name="Currency 3 4 7 3" xfId="13425"/>
    <cellStyle name="Currency 3 4 7 3 2" xfId="26974"/>
    <cellStyle name="Currency 3 4 7 4" xfId="21678"/>
    <cellStyle name="Currency 3 4 8" xfId="6091"/>
    <cellStyle name="Currency 3 4 8 2" xfId="14006"/>
    <cellStyle name="Currency 3 4 8 2 2" xfId="27555"/>
    <cellStyle name="Currency 3 4 8 3" xfId="21676"/>
    <cellStyle name="Currency 3 4 9" xfId="6092"/>
    <cellStyle name="Currency 3 4 9 2" xfId="15892"/>
    <cellStyle name="Currency 3 4 9 2 2" xfId="29299"/>
    <cellStyle name="Currency 3 4 9 3" xfId="21675"/>
    <cellStyle name="Currency 3 5" xfId="6093"/>
    <cellStyle name="Currency 3 5 10" xfId="9890"/>
    <cellStyle name="Currency 3 5 11" xfId="21674"/>
    <cellStyle name="Currency 3 5 2" xfId="6094"/>
    <cellStyle name="Currency 3 5 2 2" xfId="6095"/>
    <cellStyle name="Currency 3 5 2 2 2" xfId="6096"/>
    <cellStyle name="Currency 3 5 2 2 2 2" xfId="6097"/>
    <cellStyle name="Currency 3 5 2 2 2 2 2" xfId="11386"/>
    <cellStyle name="Currency 3 5 2 2 2 2 3" xfId="21670"/>
    <cellStyle name="Currency 3 5 2 2 2 3" xfId="6098"/>
    <cellStyle name="Currency 3 5 2 2 2 3 2" xfId="16888"/>
    <cellStyle name="Currency 3 5 2 2 2 3 2 2" xfId="30295"/>
    <cellStyle name="Currency 3 5 2 2 2 3 3" xfId="21669"/>
    <cellStyle name="Currency 3 5 2 2 2 4" xfId="9893"/>
    <cellStyle name="Currency 3 5 2 2 2 5" xfId="21671"/>
    <cellStyle name="Currency 3 5 2 2 3" xfId="6099"/>
    <cellStyle name="Currency 3 5 2 2 3 2" xfId="6100"/>
    <cellStyle name="Currency 3 5 2 2 3 2 2" xfId="13184"/>
    <cellStyle name="Currency 3 5 2 2 3 2 3" xfId="21667"/>
    <cellStyle name="Currency 3 5 2 2 3 3" xfId="12276"/>
    <cellStyle name="Currency 3 5 2 2 3 3 2" xfId="25988"/>
    <cellStyle name="Currency 3 5 2 2 3 4" xfId="21668"/>
    <cellStyle name="Currency 3 5 2 2 4" xfId="6101"/>
    <cellStyle name="Currency 3 5 2 2 4 2" xfId="6102"/>
    <cellStyle name="Currency 3 5 2 2 4 2 2" xfId="15643"/>
    <cellStyle name="Currency 3 5 2 2 4 2 3" xfId="21665"/>
    <cellStyle name="Currency 3 5 2 2 4 3" xfId="13840"/>
    <cellStyle name="Currency 3 5 2 2 4 3 2" xfId="27389"/>
    <cellStyle name="Currency 3 5 2 2 4 4" xfId="21666"/>
    <cellStyle name="Currency 3 5 2 2 5" xfId="6103"/>
    <cellStyle name="Currency 3 5 2 2 5 2" xfId="14421"/>
    <cellStyle name="Currency 3 5 2 2 5 2 2" xfId="27970"/>
    <cellStyle name="Currency 3 5 2 2 5 3" xfId="21664"/>
    <cellStyle name="Currency 3 5 2 2 6" xfId="6104"/>
    <cellStyle name="Currency 3 5 2 2 6 2" xfId="16307"/>
    <cellStyle name="Currency 3 5 2 2 6 2 2" xfId="29714"/>
    <cellStyle name="Currency 3 5 2 2 6 3" xfId="21663"/>
    <cellStyle name="Currency 3 5 2 2 7" xfId="9892"/>
    <cellStyle name="Currency 3 5 2 2 8" xfId="21672"/>
    <cellStyle name="Currency 3 5 2 3" xfId="6105"/>
    <cellStyle name="Currency 3 5 2 3 2" xfId="6106"/>
    <cellStyle name="Currency 3 5 2 3 2 2" xfId="11387"/>
    <cellStyle name="Currency 3 5 2 3 2 3" xfId="21661"/>
    <cellStyle name="Currency 3 5 2 3 3" xfId="6107"/>
    <cellStyle name="Currency 3 5 2 3 3 2" xfId="16599"/>
    <cellStyle name="Currency 3 5 2 3 3 2 2" xfId="30006"/>
    <cellStyle name="Currency 3 5 2 3 3 3" xfId="21660"/>
    <cellStyle name="Currency 3 5 2 3 4" xfId="9894"/>
    <cellStyle name="Currency 3 5 2 3 5" xfId="21662"/>
    <cellStyle name="Currency 3 5 2 4" xfId="6108"/>
    <cellStyle name="Currency 3 5 2 4 2" xfId="6109"/>
    <cellStyle name="Currency 3 5 2 4 2 2" xfId="13185"/>
    <cellStyle name="Currency 3 5 2 4 2 3" xfId="21658"/>
    <cellStyle name="Currency 3 5 2 4 3" xfId="11976"/>
    <cellStyle name="Currency 3 5 2 4 3 2" xfId="25691"/>
    <cellStyle name="Currency 3 5 2 4 4" xfId="21659"/>
    <cellStyle name="Currency 3 5 2 5" xfId="6110"/>
    <cellStyle name="Currency 3 5 2 5 2" xfId="6111"/>
    <cellStyle name="Currency 3 5 2 5 2 2" xfId="15644"/>
    <cellStyle name="Currency 3 5 2 5 2 3" xfId="21656"/>
    <cellStyle name="Currency 3 5 2 5 3" xfId="13551"/>
    <cellStyle name="Currency 3 5 2 5 3 2" xfId="27100"/>
    <cellStyle name="Currency 3 5 2 5 4" xfId="21657"/>
    <cellStyle name="Currency 3 5 2 6" xfId="6112"/>
    <cellStyle name="Currency 3 5 2 6 2" xfId="14132"/>
    <cellStyle name="Currency 3 5 2 6 2 2" xfId="27681"/>
    <cellStyle name="Currency 3 5 2 6 3" xfId="21655"/>
    <cellStyle name="Currency 3 5 2 7" xfId="6113"/>
    <cellStyle name="Currency 3 5 2 7 2" xfId="16018"/>
    <cellStyle name="Currency 3 5 2 7 2 2" xfId="29425"/>
    <cellStyle name="Currency 3 5 2 7 3" xfId="21654"/>
    <cellStyle name="Currency 3 5 2 8" xfId="9891"/>
    <cellStyle name="Currency 3 5 2 9" xfId="21673"/>
    <cellStyle name="Currency 3 5 3" xfId="6114"/>
    <cellStyle name="Currency 3 5 3 2" xfId="6115"/>
    <cellStyle name="Currency 3 5 3 2 2" xfId="6116"/>
    <cellStyle name="Currency 3 5 3 2 2 2" xfId="11388"/>
    <cellStyle name="Currency 3 5 3 2 2 3" xfId="21651"/>
    <cellStyle name="Currency 3 5 3 2 3" xfId="6117"/>
    <cellStyle name="Currency 3 5 3 2 3 2" xfId="16748"/>
    <cellStyle name="Currency 3 5 3 2 3 2 2" xfId="30155"/>
    <cellStyle name="Currency 3 5 3 2 3 3" xfId="21650"/>
    <cellStyle name="Currency 3 5 3 2 4" xfId="9896"/>
    <cellStyle name="Currency 3 5 3 2 5" xfId="21652"/>
    <cellStyle name="Currency 3 5 3 3" xfId="6118"/>
    <cellStyle name="Currency 3 5 3 3 2" xfId="6119"/>
    <cellStyle name="Currency 3 5 3 3 2 2" xfId="13186"/>
    <cellStyle name="Currency 3 5 3 3 2 3" xfId="21648"/>
    <cellStyle name="Currency 3 5 3 3 3" xfId="12136"/>
    <cellStyle name="Currency 3 5 3 3 3 2" xfId="25848"/>
    <cellStyle name="Currency 3 5 3 3 4" xfId="21649"/>
    <cellStyle name="Currency 3 5 3 4" xfId="6120"/>
    <cellStyle name="Currency 3 5 3 4 2" xfId="6121"/>
    <cellStyle name="Currency 3 5 3 4 2 2" xfId="15645"/>
    <cellStyle name="Currency 3 5 3 4 2 3" xfId="21646"/>
    <cellStyle name="Currency 3 5 3 4 3" xfId="13700"/>
    <cellStyle name="Currency 3 5 3 4 3 2" xfId="27249"/>
    <cellStyle name="Currency 3 5 3 4 4" xfId="21647"/>
    <cellStyle name="Currency 3 5 3 5" xfId="6122"/>
    <cellStyle name="Currency 3 5 3 5 2" xfId="14281"/>
    <cellStyle name="Currency 3 5 3 5 2 2" xfId="27830"/>
    <cellStyle name="Currency 3 5 3 5 3" xfId="21645"/>
    <cellStyle name="Currency 3 5 3 6" xfId="6123"/>
    <cellStyle name="Currency 3 5 3 6 2" xfId="16167"/>
    <cellStyle name="Currency 3 5 3 6 2 2" xfId="29574"/>
    <cellStyle name="Currency 3 5 3 6 3" xfId="21644"/>
    <cellStyle name="Currency 3 5 3 7" xfId="9895"/>
    <cellStyle name="Currency 3 5 3 8" xfId="21653"/>
    <cellStyle name="Currency 3 5 4" xfId="6124"/>
    <cellStyle name="Currency 3 5 4 2" xfId="6125"/>
    <cellStyle name="Currency 3 5 4 2 2" xfId="16456"/>
    <cellStyle name="Currency 3 5 4 2 2 2" xfId="29863"/>
    <cellStyle name="Currency 3 5 4 2 3" xfId="21642"/>
    <cellStyle name="Currency 3 5 4 3" xfId="9897"/>
    <cellStyle name="Currency 3 5 4 4" xfId="21643"/>
    <cellStyle name="Currency 3 5 5" xfId="6126"/>
    <cellStyle name="Currency 3 5 5 2" xfId="6127"/>
    <cellStyle name="Currency 3 5 5 2 2" xfId="11389"/>
    <cellStyle name="Currency 3 5 5 2 3" xfId="21640"/>
    <cellStyle name="Currency 3 5 5 3" xfId="9898"/>
    <cellStyle name="Currency 3 5 5 4" xfId="21641"/>
    <cellStyle name="Currency 3 5 6" xfId="6128"/>
    <cellStyle name="Currency 3 5 6 2" xfId="6129"/>
    <cellStyle name="Currency 3 5 6 2 2" xfId="13187"/>
    <cellStyle name="Currency 3 5 6 2 3" xfId="21638"/>
    <cellStyle name="Currency 3 5 6 3" xfId="11807"/>
    <cellStyle name="Currency 3 5 6 3 2" xfId="25522"/>
    <cellStyle name="Currency 3 5 6 4" xfId="21639"/>
    <cellStyle name="Currency 3 5 7" xfId="6130"/>
    <cellStyle name="Currency 3 5 7 2" xfId="6131"/>
    <cellStyle name="Currency 3 5 7 2 2" xfId="15646"/>
    <cellStyle name="Currency 3 5 7 2 3" xfId="21636"/>
    <cellStyle name="Currency 3 5 7 3" xfId="13408"/>
    <cellStyle name="Currency 3 5 7 3 2" xfId="26957"/>
    <cellStyle name="Currency 3 5 7 4" xfId="21637"/>
    <cellStyle name="Currency 3 5 8" xfId="6132"/>
    <cellStyle name="Currency 3 5 8 2" xfId="13989"/>
    <cellStyle name="Currency 3 5 8 2 2" xfId="27538"/>
    <cellStyle name="Currency 3 5 8 3" xfId="21635"/>
    <cellStyle name="Currency 3 5 9" xfId="6133"/>
    <cellStyle name="Currency 3 5 9 2" xfId="15875"/>
    <cellStyle name="Currency 3 5 9 2 2" xfId="29282"/>
    <cellStyle name="Currency 3 5 9 3" xfId="21634"/>
    <cellStyle name="Currency 3 6" xfId="6134"/>
    <cellStyle name="Currency 3 6 10" xfId="9899"/>
    <cellStyle name="Currency 3 6 11" xfId="21633"/>
    <cellStyle name="Currency 3 6 2" xfId="6135"/>
    <cellStyle name="Currency 3 6 2 2" xfId="6136"/>
    <cellStyle name="Currency 3 6 2 2 2" xfId="6137"/>
    <cellStyle name="Currency 3 6 2 2 2 2" xfId="6138"/>
    <cellStyle name="Currency 3 6 2 2 2 2 2" xfId="11390"/>
    <cellStyle name="Currency 3 6 2 2 2 2 3" xfId="21629"/>
    <cellStyle name="Currency 3 6 2 2 2 3" xfId="6139"/>
    <cellStyle name="Currency 3 6 2 2 2 3 2" xfId="16994"/>
    <cellStyle name="Currency 3 6 2 2 2 3 2 2" xfId="30401"/>
    <cellStyle name="Currency 3 6 2 2 2 3 3" xfId="21628"/>
    <cellStyle name="Currency 3 6 2 2 2 4" xfId="9902"/>
    <cellStyle name="Currency 3 6 2 2 2 5" xfId="21630"/>
    <cellStyle name="Currency 3 6 2 2 3" xfId="6140"/>
    <cellStyle name="Currency 3 6 2 2 3 2" xfId="6141"/>
    <cellStyle name="Currency 3 6 2 2 3 2 2" xfId="13188"/>
    <cellStyle name="Currency 3 6 2 2 3 2 3" xfId="21626"/>
    <cellStyle name="Currency 3 6 2 2 3 3" xfId="12382"/>
    <cellStyle name="Currency 3 6 2 2 3 3 2" xfId="26094"/>
    <cellStyle name="Currency 3 6 2 2 3 4" xfId="21627"/>
    <cellStyle name="Currency 3 6 2 2 4" xfId="6142"/>
    <cellStyle name="Currency 3 6 2 2 4 2" xfId="6143"/>
    <cellStyle name="Currency 3 6 2 2 4 2 2" xfId="15647"/>
    <cellStyle name="Currency 3 6 2 2 4 2 3" xfId="21624"/>
    <cellStyle name="Currency 3 6 2 2 4 3" xfId="13946"/>
    <cellStyle name="Currency 3 6 2 2 4 3 2" xfId="27495"/>
    <cellStyle name="Currency 3 6 2 2 4 4" xfId="21625"/>
    <cellStyle name="Currency 3 6 2 2 5" xfId="6144"/>
    <cellStyle name="Currency 3 6 2 2 5 2" xfId="14527"/>
    <cellStyle name="Currency 3 6 2 2 5 2 2" xfId="28076"/>
    <cellStyle name="Currency 3 6 2 2 5 3" xfId="21623"/>
    <cellStyle name="Currency 3 6 2 2 6" xfId="6145"/>
    <cellStyle name="Currency 3 6 2 2 6 2" xfId="16413"/>
    <cellStyle name="Currency 3 6 2 2 6 2 2" xfId="29820"/>
    <cellStyle name="Currency 3 6 2 2 6 3" xfId="21622"/>
    <cellStyle name="Currency 3 6 2 2 7" xfId="9901"/>
    <cellStyle name="Currency 3 6 2 2 8" xfId="21631"/>
    <cellStyle name="Currency 3 6 2 3" xfId="6146"/>
    <cellStyle name="Currency 3 6 2 3 2" xfId="6147"/>
    <cellStyle name="Currency 3 6 2 3 2 2" xfId="11391"/>
    <cellStyle name="Currency 3 6 2 3 2 3" xfId="21620"/>
    <cellStyle name="Currency 3 6 2 3 3" xfId="6148"/>
    <cellStyle name="Currency 3 6 2 3 3 2" xfId="16705"/>
    <cellStyle name="Currency 3 6 2 3 3 2 2" xfId="30112"/>
    <cellStyle name="Currency 3 6 2 3 3 3" xfId="21619"/>
    <cellStyle name="Currency 3 6 2 3 4" xfId="9903"/>
    <cellStyle name="Currency 3 6 2 3 5" xfId="21621"/>
    <cellStyle name="Currency 3 6 2 4" xfId="6149"/>
    <cellStyle name="Currency 3 6 2 4 2" xfId="6150"/>
    <cellStyle name="Currency 3 6 2 4 2 2" xfId="13189"/>
    <cellStyle name="Currency 3 6 2 4 2 3" xfId="21617"/>
    <cellStyle name="Currency 3 6 2 4 3" xfId="12082"/>
    <cellStyle name="Currency 3 6 2 4 3 2" xfId="25797"/>
    <cellStyle name="Currency 3 6 2 4 4" xfId="21618"/>
    <cellStyle name="Currency 3 6 2 5" xfId="6151"/>
    <cellStyle name="Currency 3 6 2 5 2" xfId="6152"/>
    <cellStyle name="Currency 3 6 2 5 2 2" xfId="15648"/>
    <cellStyle name="Currency 3 6 2 5 2 3" xfId="21615"/>
    <cellStyle name="Currency 3 6 2 5 3" xfId="13657"/>
    <cellStyle name="Currency 3 6 2 5 3 2" xfId="27206"/>
    <cellStyle name="Currency 3 6 2 5 4" xfId="21616"/>
    <cellStyle name="Currency 3 6 2 6" xfId="6153"/>
    <cellStyle name="Currency 3 6 2 6 2" xfId="14238"/>
    <cellStyle name="Currency 3 6 2 6 2 2" xfId="27787"/>
    <cellStyle name="Currency 3 6 2 6 3" xfId="21614"/>
    <cellStyle name="Currency 3 6 2 7" xfId="6154"/>
    <cellStyle name="Currency 3 6 2 7 2" xfId="16124"/>
    <cellStyle name="Currency 3 6 2 7 2 2" xfId="29531"/>
    <cellStyle name="Currency 3 6 2 7 3" xfId="21613"/>
    <cellStyle name="Currency 3 6 2 8" xfId="9900"/>
    <cellStyle name="Currency 3 6 2 9" xfId="21632"/>
    <cellStyle name="Currency 3 6 3" xfId="6155"/>
    <cellStyle name="Currency 3 6 3 2" xfId="6156"/>
    <cellStyle name="Currency 3 6 3 2 2" xfId="6157"/>
    <cellStyle name="Currency 3 6 3 2 2 2" xfId="11392"/>
    <cellStyle name="Currency 3 6 3 2 2 3" xfId="21610"/>
    <cellStyle name="Currency 3 6 3 2 3" xfId="6158"/>
    <cellStyle name="Currency 3 6 3 2 3 2" xfId="16851"/>
    <cellStyle name="Currency 3 6 3 2 3 2 2" xfId="30258"/>
    <cellStyle name="Currency 3 6 3 2 3 3" xfId="21609"/>
    <cellStyle name="Currency 3 6 3 2 4" xfId="9905"/>
    <cellStyle name="Currency 3 6 3 2 5" xfId="21611"/>
    <cellStyle name="Currency 3 6 3 3" xfId="6159"/>
    <cellStyle name="Currency 3 6 3 3 2" xfId="6160"/>
    <cellStyle name="Currency 3 6 3 3 2 2" xfId="13190"/>
    <cellStyle name="Currency 3 6 3 3 2 3" xfId="21607"/>
    <cellStyle name="Currency 3 6 3 3 3" xfId="12239"/>
    <cellStyle name="Currency 3 6 3 3 3 2" xfId="25951"/>
    <cellStyle name="Currency 3 6 3 3 4" xfId="21608"/>
    <cellStyle name="Currency 3 6 3 4" xfId="6161"/>
    <cellStyle name="Currency 3 6 3 4 2" xfId="6162"/>
    <cellStyle name="Currency 3 6 3 4 2 2" xfId="15649"/>
    <cellStyle name="Currency 3 6 3 4 2 3" xfId="21605"/>
    <cellStyle name="Currency 3 6 3 4 3" xfId="13803"/>
    <cellStyle name="Currency 3 6 3 4 3 2" xfId="27352"/>
    <cellStyle name="Currency 3 6 3 4 4" xfId="21606"/>
    <cellStyle name="Currency 3 6 3 5" xfId="6163"/>
    <cellStyle name="Currency 3 6 3 5 2" xfId="14384"/>
    <cellStyle name="Currency 3 6 3 5 2 2" xfId="27933"/>
    <cellStyle name="Currency 3 6 3 5 3" xfId="21604"/>
    <cellStyle name="Currency 3 6 3 6" xfId="6164"/>
    <cellStyle name="Currency 3 6 3 6 2" xfId="16270"/>
    <cellStyle name="Currency 3 6 3 6 2 2" xfId="29677"/>
    <cellStyle name="Currency 3 6 3 6 3" xfId="21603"/>
    <cellStyle name="Currency 3 6 3 7" xfId="9904"/>
    <cellStyle name="Currency 3 6 3 8" xfId="21612"/>
    <cellStyle name="Currency 3 6 4" xfId="6165"/>
    <cellStyle name="Currency 3 6 4 2" xfId="6166"/>
    <cellStyle name="Currency 3 6 4 2 2" xfId="16562"/>
    <cellStyle name="Currency 3 6 4 2 2 2" xfId="29969"/>
    <cellStyle name="Currency 3 6 4 2 3" xfId="21601"/>
    <cellStyle name="Currency 3 6 4 3" xfId="9906"/>
    <cellStyle name="Currency 3 6 4 4" xfId="21602"/>
    <cellStyle name="Currency 3 6 5" xfId="6167"/>
    <cellStyle name="Currency 3 6 5 2" xfId="6168"/>
    <cellStyle name="Currency 3 6 5 2 2" xfId="11393"/>
    <cellStyle name="Currency 3 6 5 2 3" xfId="21599"/>
    <cellStyle name="Currency 3 6 5 3" xfId="9907"/>
    <cellStyle name="Currency 3 6 5 4" xfId="21600"/>
    <cellStyle name="Currency 3 6 6" xfId="6169"/>
    <cellStyle name="Currency 3 6 6 2" xfId="6170"/>
    <cellStyle name="Currency 3 6 6 2 2" xfId="13191"/>
    <cellStyle name="Currency 3 6 6 2 3" xfId="21597"/>
    <cellStyle name="Currency 3 6 6 3" xfId="11937"/>
    <cellStyle name="Currency 3 6 6 3 2" xfId="25652"/>
    <cellStyle name="Currency 3 6 6 4" xfId="21598"/>
    <cellStyle name="Currency 3 6 7" xfId="6171"/>
    <cellStyle name="Currency 3 6 7 2" xfId="6172"/>
    <cellStyle name="Currency 3 6 7 2 2" xfId="15650"/>
    <cellStyle name="Currency 3 6 7 2 3" xfId="21595"/>
    <cellStyle name="Currency 3 6 7 3" xfId="13514"/>
    <cellStyle name="Currency 3 6 7 3 2" xfId="27063"/>
    <cellStyle name="Currency 3 6 7 4" xfId="21596"/>
    <cellStyle name="Currency 3 6 8" xfId="6173"/>
    <cellStyle name="Currency 3 6 8 2" xfId="14095"/>
    <cellStyle name="Currency 3 6 8 2 2" xfId="27644"/>
    <cellStyle name="Currency 3 6 8 3" xfId="21594"/>
    <cellStyle name="Currency 3 6 9" xfId="6174"/>
    <cellStyle name="Currency 3 6 9 2" xfId="15981"/>
    <cellStyle name="Currency 3 6 9 2 2" xfId="29388"/>
    <cellStyle name="Currency 3 6 9 3" xfId="21593"/>
    <cellStyle name="Currency 3 7" xfId="6175"/>
    <cellStyle name="Currency 3 7 2" xfId="6176"/>
    <cellStyle name="Currency 3 7 2 2" xfId="6177"/>
    <cellStyle name="Currency 3 7 2 2 2" xfId="6178"/>
    <cellStyle name="Currency 3 7 2 2 2 2" xfId="11394"/>
    <cellStyle name="Currency 3 7 2 2 2 3" xfId="21589"/>
    <cellStyle name="Currency 3 7 2 2 3" xfId="6179"/>
    <cellStyle name="Currency 3 7 2 2 3 2" xfId="16871"/>
    <cellStyle name="Currency 3 7 2 2 3 2 2" xfId="30278"/>
    <cellStyle name="Currency 3 7 2 2 3 3" xfId="21588"/>
    <cellStyle name="Currency 3 7 2 2 4" xfId="9910"/>
    <cellStyle name="Currency 3 7 2 2 5" xfId="21590"/>
    <cellStyle name="Currency 3 7 2 3" xfId="6180"/>
    <cellStyle name="Currency 3 7 2 3 2" xfId="6181"/>
    <cellStyle name="Currency 3 7 2 3 2 2" xfId="13192"/>
    <cellStyle name="Currency 3 7 2 3 2 3" xfId="21586"/>
    <cellStyle name="Currency 3 7 2 3 3" xfId="12259"/>
    <cellStyle name="Currency 3 7 2 3 3 2" xfId="25971"/>
    <cellStyle name="Currency 3 7 2 3 4" xfId="21587"/>
    <cellStyle name="Currency 3 7 2 4" xfId="6182"/>
    <cellStyle name="Currency 3 7 2 4 2" xfId="6183"/>
    <cellStyle name="Currency 3 7 2 4 2 2" xfId="15651"/>
    <cellStyle name="Currency 3 7 2 4 2 3" xfId="21584"/>
    <cellStyle name="Currency 3 7 2 4 3" xfId="13823"/>
    <cellStyle name="Currency 3 7 2 4 3 2" xfId="27372"/>
    <cellStyle name="Currency 3 7 2 4 4" xfId="21585"/>
    <cellStyle name="Currency 3 7 2 5" xfId="6184"/>
    <cellStyle name="Currency 3 7 2 5 2" xfId="14404"/>
    <cellStyle name="Currency 3 7 2 5 2 2" xfId="27953"/>
    <cellStyle name="Currency 3 7 2 5 3" xfId="21583"/>
    <cellStyle name="Currency 3 7 2 6" xfId="6185"/>
    <cellStyle name="Currency 3 7 2 6 2" xfId="16290"/>
    <cellStyle name="Currency 3 7 2 6 2 2" xfId="29697"/>
    <cellStyle name="Currency 3 7 2 6 3" xfId="21582"/>
    <cellStyle name="Currency 3 7 2 7" xfId="9909"/>
    <cellStyle name="Currency 3 7 2 8" xfId="21591"/>
    <cellStyle name="Currency 3 7 3" xfId="6186"/>
    <cellStyle name="Currency 3 7 3 2" xfId="6187"/>
    <cellStyle name="Currency 3 7 3 2 2" xfId="11395"/>
    <cellStyle name="Currency 3 7 3 2 3" xfId="21580"/>
    <cellStyle name="Currency 3 7 3 3" xfId="6188"/>
    <cellStyle name="Currency 3 7 3 3 2" xfId="16582"/>
    <cellStyle name="Currency 3 7 3 3 2 2" xfId="29989"/>
    <cellStyle name="Currency 3 7 3 3 3" xfId="21579"/>
    <cellStyle name="Currency 3 7 3 4" xfId="9911"/>
    <cellStyle name="Currency 3 7 3 5" xfId="21581"/>
    <cellStyle name="Currency 3 7 4" xfId="6189"/>
    <cellStyle name="Currency 3 7 4 2" xfId="6190"/>
    <cellStyle name="Currency 3 7 4 2 2" xfId="13193"/>
    <cellStyle name="Currency 3 7 4 2 3" xfId="21577"/>
    <cellStyle name="Currency 3 7 4 3" xfId="11958"/>
    <cellStyle name="Currency 3 7 4 3 2" xfId="25673"/>
    <cellStyle name="Currency 3 7 4 4" xfId="21578"/>
    <cellStyle name="Currency 3 7 5" xfId="6191"/>
    <cellStyle name="Currency 3 7 5 2" xfId="6192"/>
    <cellStyle name="Currency 3 7 5 2 2" xfId="15652"/>
    <cellStyle name="Currency 3 7 5 2 3" xfId="21575"/>
    <cellStyle name="Currency 3 7 5 3" xfId="13534"/>
    <cellStyle name="Currency 3 7 5 3 2" xfId="27083"/>
    <cellStyle name="Currency 3 7 5 4" xfId="21576"/>
    <cellStyle name="Currency 3 7 6" xfId="6193"/>
    <cellStyle name="Currency 3 7 6 2" xfId="14115"/>
    <cellStyle name="Currency 3 7 6 2 2" xfId="27664"/>
    <cellStyle name="Currency 3 7 6 3" xfId="21574"/>
    <cellStyle name="Currency 3 7 7" xfId="6194"/>
    <cellStyle name="Currency 3 7 7 2" xfId="16001"/>
    <cellStyle name="Currency 3 7 7 2 2" xfId="29408"/>
    <cellStyle name="Currency 3 7 7 3" xfId="21573"/>
    <cellStyle name="Currency 3 7 8" xfId="9908"/>
    <cellStyle name="Currency 3 7 9" xfId="21592"/>
    <cellStyle name="Currency 3 8" xfId="6195"/>
    <cellStyle name="Currency 3 8 2" xfId="6196"/>
    <cellStyle name="Currency 3 8 2 2" xfId="6197"/>
    <cellStyle name="Currency 3 8 2 2 2" xfId="11396"/>
    <cellStyle name="Currency 3 8 2 2 3" xfId="21570"/>
    <cellStyle name="Currency 3 8 2 3" xfId="6198"/>
    <cellStyle name="Currency 3 8 2 3 2" xfId="16727"/>
    <cellStyle name="Currency 3 8 2 3 2 2" xfId="30134"/>
    <cellStyle name="Currency 3 8 2 3 3" xfId="21569"/>
    <cellStyle name="Currency 3 8 2 4" xfId="9913"/>
    <cellStyle name="Currency 3 8 2 5" xfId="21571"/>
    <cellStyle name="Currency 3 8 3" xfId="6199"/>
    <cellStyle name="Currency 3 8 3 2" xfId="6200"/>
    <cellStyle name="Currency 3 8 3 2 2" xfId="13194"/>
    <cellStyle name="Currency 3 8 3 2 3" xfId="21567"/>
    <cellStyle name="Currency 3 8 3 3" xfId="12110"/>
    <cellStyle name="Currency 3 8 3 3 2" xfId="25822"/>
    <cellStyle name="Currency 3 8 3 4" xfId="21568"/>
    <cellStyle name="Currency 3 8 4" xfId="6201"/>
    <cellStyle name="Currency 3 8 4 2" xfId="6202"/>
    <cellStyle name="Currency 3 8 4 2 2" xfId="15653"/>
    <cellStyle name="Currency 3 8 4 2 3" xfId="21565"/>
    <cellStyle name="Currency 3 8 4 3" xfId="13679"/>
    <cellStyle name="Currency 3 8 4 3 2" xfId="27228"/>
    <cellStyle name="Currency 3 8 4 4" xfId="21566"/>
    <cellStyle name="Currency 3 8 5" xfId="6203"/>
    <cellStyle name="Currency 3 8 5 2" xfId="14260"/>
    <cellStyle name="Currency 3 8 5 2 2" xfId="27809"/>
    <cellStyle name="Currency 3 8 5 3" xfId="21564"/>
    <cellStyle name="Currency 3 8 6" xfId="6204"/>
    <cellStyle name="Currency 3 8 6 2" xfId="16146"/>
    <cellStyle name="Currency 3 8 6 2 2" xfId="29553"/>
    <cellStyle name="Currency 3 8 6 3" xfId="21563"/>
    <cellStyle name="Currency 3 8 7" xfId="9912"/>
    <cellStyle name="Currency 3 8 8" xfId="21572"/>
    <cellStyle name="Currency 3 9" xfId="6205"/>
    <cellStyle name="Currency 3 9 2" xfId="6206"/>
    <cellStyle name="Currency 3 9 2 2" xfId="6207"/>
    <cellStyle name="Currency 3 9 2 2 2" xfId="11397"/>
    <cellStyle name="Currency 3 9 2 2 3" xfId="21560"/>
    <cellStyle name="Currency 3 9 2 3" xfId="6208"/>
    <cellStyle name="Currency 3 9 2 3 2" xfId="16735"/>
    <cellStyle name="Currency 3 9 2 3 2 2" xfId="30142"/>
    <cellStyle name="Currency 3 9 2 3 3" xfId="21559"/>
    <cellStyle name="Currency 3 9 2 4" xfId="9915"/>
    <cellStyle name="Currency 3 9 2 5" xfId="21561"/>
    <cellStyle name="Currency 3 9 3" xfId="6209"/>
    <cellStyle name="Currency 3 9 3 2" xfId="6210"/>
    <cellStyle name="Currency 3 9 3 2 2" xfId="13195"/>
    <cellStyle name="Currency 3 9 3 2 3" xfId="21557"/>
    <cellStyle name="Currency 3 9 3 3" xfId="12123"/>
    <cellStyle name="Currency 3 9 3 3 2" xfId="25835"/>
    <cellStyle name="Currency 3 9 3 4" xfId="21558"/>
    <cellStyle name="Currency 3 9 4" xfId="6211"/>
    <cellStyle name="Currency 3 9 4 2" xfId="6212"/>
    <cellStyle name="Currency 3 9 4 2 2" xfId="15654"/>
    <cellStyle name="Currency 3 9 4 2 3" xfId="21555"/>
    <cellStyle name="Currency 3 9 4 3" xfId="13687"/>
    <cellStyle name="Currency 3 9 4 3 2" xfId="27236"/>
    <cellStyle name="Currency 3 9 4 4" xfId="21556"/>
    <cellStyle name="Currency 3 9 5" xfId="6213"/>
    <cellStyle name="Currency 3 9 5 2" xfId="14268"/>
    <cellStyle name="Currency 3 9 5 2 2" xfId="27817"/>
    <cellStyle name="Currency 3 9 5 3" xfId="21554"/>
    <cellStyle name="Currency 3 9 6" xfId="6214"/>
    <cellStyle name="Currency 3 9 6 2" xfId="16154"/>
    <cellStyle name="Currency 3 9 6 2 2" xfId="29561"/>
    <cellStyle name="Currency 3 9 6 3" xfId="21553"/>
    <cellStyle name="Currency 3 9 7" xfId="9914"/>
    <cellStyle name="Currency 3 9 8" xfId="21562"/>
    <cellStyle name="Currency 4" xfId="6215"/>
    <cellStyle name="Currency 4 2" xfId="6216"/>
    <cellStyle name="Currency 4 2 2" xfId="6217"/>
    <cellStyle name="Currency 4 2 2 2" xfId="9918"/>
    <cellStyle name="Currency 4 2 2 3" xfId="21550"/>
    <cellStyle name="Currency 4 2 3" xfId="6218"/>
    <cellStyle name="Currency 4 2 3 2" xfId="13196"/>
    <cellStyle name="Currency 4 2 3 3" xfId="21549"/>
    <cellStyle name="Currency 4 2 4" xfId="6219"/>
    <cellStyle name="Currency 4 2 4 2" xfId="17030"/>
    <cellStyle name="Currency 4 2 4 2 2" xfId="30436"/>
    <cellStyle name="Currency 4 2 4 3" xfId="21548"/>
    <cellStyle name="Currency 4 2 5" xfId="9917"/>
    <cellStyle name="Currency 4 2 6" xfId="21551"/>
    <cellStyle name="Currency 4 3" xfId="6220"/>
    <cellStyle name="Currency 4 3 2" xfId="9919"/>
    <cellStyle name="Currency 4 3 3" xfId="21547"/>
    <cellStyle name="Currency 4 4" xfId="6221"/>
    <cellStyle name="Currency 4 4 2" xfId="9920"/>
    <cellStyle name="Currency 4 4 3" xfId="21546"/>
    <cellStyle name="Currency 4 5" xfId="6222"/>
    <cellStyle name="Currency 4 5 2" xfId="13197"/>
    <cellStyle name="Currency 4 5 3" xfId="21545"/>
    <cellStyle name="Currency 4 6" xfId="6223"/>
    <cellStyle name="Currency 4 6 2" xfId="9916"/>
    <cellStyle name="Currency 4 6 3" xfId="21544"/>
    <cellStyle name="Currency 4 7" xfId="8678"/>
    <cellStyle name="Currency 4 8" xfId="21552"/>
    <cellStyle name="Currency 4 9" xfId="33089"/>
    <cellStyle name="Currency 5" xfId="6224"/>
    <cellStyle name="Currency 5 10" xfId="6225"/>
    <cellStyle name="Currency 5 10 2" xfId="15900"/>
    <cellStyle name="Currency 5 10 2 2" xfId="29307"/>
    <cellStyle name="Currency 5 10 3" xfId="21542"/>
    <cellStyle name="Currency 5 11" xfId="6226"/>
    <cellStyle name="Currency 5 11 2" xfId="17335"/>
    <cellStyle name="Currency 5 11 3" xfId="21541"/>
    <cellStyle name="Currency 5 12" xfId="8736"/>
    <cellStyle name="Currency 5 13" xfId="9921"/>
    <cellStyle name="Currency 5 14" xfId="21543"/>
    <cellStyle name="Currency 5 15" xfId="33095"/>
    <cellStyle name="Currency 5 2" xfId="6227"/>
    <cellStyle name="Currency 5 2 10" xfId="21540"/>
    <cellStyle name="Currency 5 2 2" xfId="6228"/>
    <cellStyle name="Currency 5 2 2 2" xfId="6229"/>
    <cellStyle name="Currency 5 2 2 2 2" xfId="6230"/>
    <cellStyle name="Currency 5 2 2 2 2 2" xfId="6231"/>
    <cellStyle name="Currency 5 2 2 2 2 2 2" xfId="11398"/>
    <cellStyle name="Currency 5 2 2 2 2 2 3" xfId="21536"/>
    <cellStyle name="Currency 5 2 2 2 2 3" xfId="6232"/>
    <cellStyle name="Currency 5 2 2 2 2 3 2" xfId="16959"/>
    <cellStyle name="Currency 5 2 2 2 2 3 2 2" xfId="30366"/>
    <cellStyle name="Currency 5 2 2 2 2 3 3" xfId="21535"/>
    <cellStyle name="Currency 5 2 2 2 2 4" xfId="9925"/>
    <cellStyle name="Currency 5 2 2 2 2 5" xfId="21537"/>
    <cellStyle name="Currency 5 2 2 2 3" xfId="6233"/>
    <cellStyle name="Currency 5 2 2 2 3 2" xfId="6234"/>
    <cellStyle name="Currency 5 2 2 2 3 2 2" xfId="13198"/>
    <cellStyle name="Currency 5 2 2 2 3 2 3" xfId="21533"/>
    <cellStyle name="Currency 5 2 2 2 3 3" xfId="12347"/>
    <cellStyle name="Currency 5 2 2 2 3 3 2" xfId="26059"/>
    <cellStyle name="Currency 5 2 2 2 3 4" xfId="21534"/>
    <cellStyle name="Currency 5 2 2 2 4" xfId="6235"/>
    <cellStyle name="Currency 5 2 2 2 4 2" xfId="6236"/>
    <cellStyle name="Currency 5 2 2 2 4 2 2" xfId="15655"/>
    <cellStyle name="Currency 5 2 2 2 4 2 3" xfId="21531"/>
    <cellStyle name="Currency 5 2 2 2 4 3" xfId="13911"/>
    <cellStyle name="Currency 5 2 2 2 4 3 2" xfId="27460"/>
    <cellStyle name="Currency 5 2 2 2 4 4" xfId="21532"/>
    <cellStyle name="Currency 5 2 2 2 5" xfId="6237"/>
    <cellStyle name="Currency 5 2 2 2 5 2" xfId="14492"/>
    <cellStyle name="Currency 5 2 2 2 5 2 2" xfId="28041"/>
    <cellStyle name="Currency 5 2 2 2 5 3" xfId="21530"/>
    <cellStyle name="Currency 5 2 2 2 6" xfId="6238"/>
    <cellStyle name="Currency 5 2 2 2 6 2" xfId="16378"/>
    <cellStyle name="Currency 5 2 2 2 6 2 2" xfId="29785"/>
    <cellStyle name="Currency 5 2 2 2 6 3" xfId="21529"/>
    <cellStyle name="Currency 5 2 2 2 7" xfId="9924"/>
    <cellStyle name="Currency 5 2 2 2 8" xfId="21538"/>
    <cellStyle name="Currency 5 2 2 3" xfId="6239"/>
    <cellStyle name="Currency 5 2 2 3 2" xfId="6240"/>
    <cellStyle name="Currency 5 2 2 3 2 2" xfId="11399"/>
    <cellStyle name="Currency 5 2 2 3 2 3" xfId="21527"/>
    <cellStyle name="Currency 5 2 2 3 3" xfId="6241"/>
    <cellStyle name="Currency 5 2 2 3 3 2" xfId="16670"/>
    <cellStyle name="Currency 5 2 2 3 3 2 2" xfId="30077"/>
    <cellStyle name="Currency 5 2 2 3 3 3" xfId="21526"/>
    <cellStyle name="Currency 5 2 2 3 4" xfId="9926"/>
    <cellStyle name="Currency 5 2 2 3 5" xfId="21528"/>
    <cellStyle name="Currency 5 2 2 4" xfId="6242"/>
    <cellStyle name="Currency 5 2 2 4 2" xfId="6243"/>
    <cellStyle name="Currency 5 2 2 4 2 2" xfId="13199"/>
    <cellStyle name="Currency 5 2 2 4 2 3" xfId="21524"/>
    <cellStyle name="Currency 5 2 2 4 3" xfId="12047"/>
    <cellStyle name="Currency 5 2 2 4 3 2" xfId="25762"/>
    <cellStyle name="Currency 5 2 2 4 4" xfId="21525"/>
    <cellStyle name="Currency 5 2 2 5" xfId="6244"/>
    <cellStyle name="Currency 5 2 2 5 2" xfId="6245"/>
    <cellStyle name="Currency 5 2 2 5 2 2" xfId="15656"/>
    <cellStyle name="Currency 5 2 2 5 2 3" xfId="21522"/>
    <cellStyle name="Currency 5 2 2 5 3" xfId="13622"/>
    <cellStyle name="Currency 5 2 2 5 3 2" xfId="27171"/>
    <cellStyle name="Currency 5 2 2 5 4" xfId="21523"/>
    <cellStyle name="Currency 5 2 2 6" xfId="6246"/>
    <cellStyle name="Currency 5 2 2 6 2" xfId="14203"/>
    <cellStyle name="Currency 5 2 2 6 2 2" xfId="27752"/>
    <cellStyle name="Currency 5 2 2 6 3" xfId="21521"/>
    <cellStyle name="Currency 5 2 2 7" xfId="6247"/>
    <cellStyle name="Currency 5 2 2 7 2" xfId="16089"/>
    <cellStyle name="Currency 5 2 2 7 2 2" xfId="29496"/>
    <cellStyle name="Currency 5 2 2 7 3" xfId="21520"/>
    <cellStyle name="Currency 5 2 2 8" xfId="9923"/>
    <cellStyle name="Currency 5 2 2 9" xfId="21539"/>
    <cellStyle name="Currency 5 2 3" xfId="6248"/>
    <cellStyle name="Currency 5 2 3 2" xfId="6249"/>
    <cellStyle name="Currency 5 2 3 2 2" xfId="6250"/>
    <cellStyle name="Currency 5 2 3 2 2 2" xfId="11400"/>
    <cellStyle name="Currency 5 2 3 2 2 3" xfId="21517"/>
    <cellStyle name="Currency 5 2 3 2 3" xfId="6251"/>
    <cellStyle name="Currency 5 2 3 2 3 2" xfId="16816"/>
    <cellStyle name="Currency 5 2 3 2 3 2 2" xfId="30223"/>
    <cellStyle name="Currency 5 2 3 2 3 3" xfId="21516"/>
    <cellStyle name="Currency 5 2 3 2 4" xfId="9928"/>
    <cellStyle name="Currency 5 2 3 2 5" xfId="21518"/>
    <cellStyle name="Currency 5 2 3 3" xfId="6252"/>
    <cellStyle name="Currency 5 2 3 3 2" xfId="6253"/>
    <cellStyle name="Currency 5 2 3 3 2 2" xfId="13200"/>
    <cellStyle name="Currency 5 2 3 3 2 3" xfId="21514"/>
    <cellStyle name="Currency 5 2 3 3 3" xfId="12204"/>
    <cellStyle name="Currency 5 2 3 3 3 2" xfId="25916"/>
    <cellStyle name="Currency 5 2 3 3 4" xfId="21515"/>
    <cellStyle name="Currency 5 2 3 4" xfId="6254"/>
    <cellStyle name="Currency 5 2 3 4 2" xfId="6255"/>
    <cellStyle name="Currency 5 2 3 4 2 2" xfId="15657"/>
    <cellStyle name="Currency 5 2 3 4 2 3" xfId="21512"/>
    <cellStyle name="Currency 5 2 3 4 3" xfId="13768"/>
    <cellStyle name="Currency 5 2 3 4 3 2" xfId="27317"/>
    <cellStyle name="Currency 5 2 3 4 4" xfId="21513"/>
    <cellStyle name="Currency 5 2 3 5" xfId="6256"/>
    <cellStyle name="Currency 5 2 3 5 2" xfId="14349"/>
    <cellStyle name="Currency 5 2 3 5 2 2" xfId="27898"/>
    <cellStyle name="Currency 5 2 3 5 3" xfId="21511"/>
    <cellStyle name="Currency 5 2 3 6" xfId="6257"/>
    <cellStyle name="Currency 5 2 3 6 2" xfId="16235"/>
    <cellStyle name="Currency 5 2 3 6 2 2" xfId="29642"/>
    <cellStyle name="Currency 5 2 3 6 3" xfId="21510"/>
    <cellStyle name="Currency 5 2 3 7" xfId="9927"/>
    <cellStyle name="Currency 5 2 3 8" xfId="21519"/>
    <cellStyle name="Currency 5 2 4" xfId="6258"/>
    <cellStyle name="Currency 5 2 4 2" xfId="6259"/>
    <cellStyle name="Currency 5 2 4 2 2" xfId="11401"/>
    <cellStyle name="Currency 5 2 4 2 3" xfId="21508"/>
    <cellStyle name="Currency 5 2 4 3" xfId="6260"/>
    <cellStyle name="Currency 5 2 4 3 2" xfId="17163"/>
    <cellStyle name="Currency 5 2 4 3 2 2" xfId="30522"/>
    <cellStyle name="Currency 5 2 4 3 3" xfId="21507"/>
    <cellStyle name="Currency 5 2 4 4" xfId="9929"/>
    <cellStyle name="Currency 5 2 4 5" xfId="21509"/>
    <cellStyle name="Currency 5 2 5" xfId="6261"/>
    <cellStyle name="Currency 5 2 5 2" xfId="6262"/>
    <cellStyle name="Currency 5 2 5 2 2" xfId="13201"/>
    <cellStyle name="Currency 5 2 5 2 3" xfId="21505"/>
    <cellStyle name="Currency 5 2 5 3" xfId="6263"/>
    <cellStyle name="Currency 5 2 5 3 2" xfId="17252"/>
    <cellStyle name="Currency 5 2 5 3 2 2" xfId="30611"/>
    <cellStyle name="Currency 5 2 5 3 3" xfId="21504"/>
    <cellStyle name="Currency 5 2 5 4" xfId="11902"/>
    <cellStyle name="Currency 5 2 5 4 2" xfId="25617"/>
    <cellStyle name="Currency 5 2 5 5" xfId="21506"/>
    <cellStyle name="Currency 5 2 6" xfId="6264"/>
    <cellStyle name="Currency 5 2 6 2" xfId="6265"/>
    <cellStyle name="Currency 5 2 6 2 2" xfId="15658"/>
    <cellStyle name="Currency 5 2 6 2 3" xfId="21502"/>
    <cellStyle name="Currency 5 2 6 3" xfId="6266"/>
    <cellStyle name="Currency 5 2 6 3 2" xfId="16527"/>
    <cellStyle name="Currency 5 2 6 3 2 2" xfId="29934"/>
    <cellStyle name="Currency 5 2 6 3 3" xfId="21501"/>
    <cellStyle name="Currency 5 2 6 4" xfId="13479"/>
    <cellStyle name="Currency 5 2 6 4 2" xfId="27028"/>
    <cellStyle name="Currency 5 2 6 5" xfId="21503"/>
    <cellStyle name="Currency 5 2 7" xfId="6267"/>
    <cellStyle name="Currency 5 2 7 2" xfId="14060"/>
    <cellStyle name="Currency 5 2 7 2 2" xfId="27609"/>
    <cellStyle name="Currency 5 2 7 3" xfId="21500"/>
    <cellStyle name="Currency 5 2 8" xfId="6268"/>
    <cellStyle name="Currency 5 2 8 2" xfId="15946"/>
    <cellStyle name="Currency 5 2 8 2 2" xfId="29353"/>
    <cellStyle name="Currency 5 2 8 3" xfId="21499"/>
    <cellStyle name="Currency 5 2 9" xfId="9922"/>
    <cellStyle name="Currency 5 3" xfId="6269"/>
    <cellStyle name="Currency 5 3 2" xfId="6270"/>
    <cellStyle name="Currency 5 3 2 2" xfId="6271"/>
    <cellStyle name="Currency 5 3 2 2 2" xfId="6272"/>
    <cellStyle name="Currency 5 3 2 2 2 2" xfId="11402"/>
    <cellStyle name="Currency 5 3 2 2 2 3" xfId="21495"/>
    <cellStyle name="Currency 5 3 2 2 3" xfId="6273"/>
    <cellStyle name="Currency 5 3 2 2 3 2" xfId="16913"/>
    <cellStyle name="Currency 5 3 2 2 3 2 2" xfId="30320"/>
    <cellStyle name="Currency 5 3 2 2 3 3" xfId="21494"/>
    <cellStyle name="Currency 5 3 2 2 4" xfId="9932"/>
    <cellStyle name="Currency 5 3 2 2 5" xfId="21496"/>
    <cellStyle name="Currency 5 3 2 3" xfId="6274"/>
    <cellStyle name="Currency 5 3 2 3 2" xfId="6275"/>
    <cellStyle name="Currency 5 3 2 3 2 2" xfId="13202"/>
    <cellStyle name="Currency 5 3 2 3 2 3" xfId="21492"/>
    <cellStyle name="Currency 5 3 2 3 3" xfId="12301"/>
    <cellStyle name="Currency 5 3 2 3 3 2" xfId="26013"/>
    <cellStyle name="Currency 5 3 2 3 4" xfId="21493"/>
    <cellStyle name="Currency 5 3 2 4" xfId="6276"/>
    <cellStyle name="Currency 5 3 2 4 2" xfId="6277"/>
    <cellStyle name="Currency 5 3 2 4 2 2" xfId="15659"/>
    <cellStyle name="Currency 5 3 2 4 2 3" xfId="21490"/>
    <cellStyle name="Currency 5 3 2 4 3" xfId="13865"/>
    <cellStyle name="Currency 5 3 2 4 3 2" xfId="27414"/>
    <cellStyle name="Currency 5 3 2 4 4" xfId="21491"/>
    <cellStyle name="Currency 5 3 2 5" xfId="6278"/>
    <cellStyle name="Currency 5 3 2 5 2" xfId="14446"/>
    <cellStyle name="Currency 5 3 2 5 2 2" xfId="27995"/>
    <cellStyle name="Currency 5 3 2 5 3" xfId="21489"/>
    <cellStyle name="Currency 5 3 2 6" xfId="6279"/>
    <cellStyle name="Currency 5 3 2 6 2" xfId="16332"/>
    <cellStyle name="Currency 5 3 2 6 2 2" xfId="29739"/>
    <cellStyle name="Currency 5 3 2 6 3" xfId="21488"/>
    <cellStyle name="Currency 5 3 2 7" xfId="9931"/>
    <cellStyle name="Currency 5 3 2 8" xfId="21497"/>
    <cellStyle name="Currency 5 3 3" xfId="6280"/>
    <cellStyle name="Currency 5 3 3 2" xfId="6281"/>
    <cellStyle name="Currency 5 3 3 2 2" xfId="11403"/>
    <cellStyle name="Currency 5 3 3 2 3" xfId="21486"/>
    <cellStyle name="Currency 5 3 3 3" xfId="6282"/>
    <cellStyle name="Currency 5 3 3 3 2" xfId="16624"/>
    <cellStyle name="Currency 5 3 3 3 2 2" xfId="30031"/>
    <cellStyle name="Currency 5 3 3 3 3" xfId="21485"/>
    <cellStyle name="Currency 5 3 3 4" xfId="9933"/>
    <cellStyle name="Currency 5 3 3 5" xfId="21487"/>
    <cellStyle name="Currency 5 3 4" xfId="6283"/>
    <cellStyle name="Currency 5 3 4 2" xfId="6284"/>
    <cellStyle name="Currency 5 3 4 2 2" xfId="13203"/>
    <cellStyle name="Currency 5 3 4 2 3" xfId="21483"/>
    <cellStyle name="Currency 5 3 4 3" xfId="12001"/>
    <cellStyle name="Currency 5 3 4 3 2" xfId="25716"/>
    <cellStyle name="Currency 5 3 4 4" xfId="21484"/>
    <cellStyle name="Currency 5 3 5" xfId="6285"/>
    <cellStyle name="Currency 5 3 5 2" xfId="6286"/>
    <cellStyle name="Currency 5 3 5 2 2" xfId="15660"/>
    <cellStyle name="Currency 5 3 5 2 3" xfId="21481"/>
    <cellStyle name="Currency 5 3 5 3" xfId="13576"/>
    <cellStyle name="Currency 5 3 5 3 2" xfId="27125"/>
    <cellStyle name="Currency 5 3 5 4" xfId="21482"/>
    <cellStyle name="Currency 5 3 6" xfId="6287"/>
    <cellStyle name="Currency 5 3 6 2" xfId="14157"/>
    <cellStyle name="Currency 5 3 6 2 2" xfId="27706"/>
    <cellStyle name="Currency 5 3 6 3" xfId="21480"/>
    <cellStyle name="Currency 5 3 7" xfId="6288"/>
    <cellStyle name="Currency 5 3 7 2" xfId="16043"/>
    <cellStyle name="Currency 5 3 7 2 2" xfId="29450"/>
    <cellStyle name="Currency 5 3 7 3" xfId="21479"/>
    <cellStyle name="Currency 5 3 8" xfId="9930"/>
    <cellStyle name="Currency 5 3 9" xfId="21498"/>
    <cellStyle name="Currency 5 4" xfId="6289"/>
    <cellStyle name="Currency 5 4 2" xfId="6290"/>
    <cellStyle name="Currency 5 4 2 2" xfId="6291"/>
    <cellStyle name="Currency 5 4 2 2 2" xfId="11404"/>
    <cellStyle name="Currency 5 4 2 2 3" xfId="21476"/>
    <cellStyle name="Currency 5 4 2 3" xfId="6292"/>
    <cellStyle name="Currency 5 4 2 3 2" xfId="16770"/>
    <cellStyle name="Currency 5 4 2 3 2 2" xfId="30177"/>
    <cellStyle name="Currency 5 4 2 3 3" xfId="21475"/>
    <cellStyle name="Currency 5 4 2 4" xfId="9935"/>
    <cellStyle name="Currency 5 4 2 5" xfId="21477"/>
    <cellStyle name="Currency 5 4 3" xfId="6293"/>
    <cellStyle name="Currency 5 4 3 2" xfId="6294"/>
    <cellStyle name="Currency 5 4 3 2 2" xfId="13204"/>
    <cellStyle name="Currency 5 4 3 2 3" xfId="21473"/>
    <cellStyle name="Currency 5 4 3 3" xfId="12158"/>
    <cellStyle name="Currency 5 4 3 3 2" xfId="25870"/>
    <cellStyle name="Currency 5 4 3 4" xfId="21474"/>
    <cellStyle name="Currency 5 4 4" xfId="6295"/>
    <cellStyle name="Currency 5 4 4 2" xfId="6296"/>
    <cellStyle name="Currency 5 4 4 2 2" xfId="15661"/>
    <cellStyle name="Currency 5 4 4 2 3" xfId="21471"/>
    <cellStyle name="Currency 5 4 4 3" xfId="13722"/>
    <cellStyle name="Currency 5 4 4 3 2" xfId="27271"/>
    <cellStyle name="Currency 5 4 4 4" xfId="21472"/>
    <cellStyle name="Currency 5 4 5" xfId="6297"/>
    <cellStyle name="Currency 5 4 5 2" xfId="14303"/>
    <cellStyle name="Currency 5 4 5 2 2" xfId="27852"/>
    <cellStyle name="Currency 5 4 5 3" xfId="21470"/>
    <cellStyle name="Currency 5 4 6" xfId="6298"/>
    <cellStyle name="Currency 5 4 6 2" xfId="16189"/>
    <cellStyle name="Currency 5 4 6 2 2" xfId="29596"/>
    <cellStyle name="Currency 5 4 6 3" xfId="21469"/>
    <cellStyle name="Currency 5 4 7" xfId="9934"/>
    <cellStyle name="Currency 5 4 8" xfId="21478"/>
    <cellStyle name="Currency 5 5" xfId="6299"/>
    <cellStyle name="Currency 5 5 2" xfId="6300"/>
    <cellStyle name="Currency 5 5 2 2" xfId="17031"/>
    <cellStyle name="Currency 5 5 2 2 2" xfId="30437"/>
    <cellStyle name="Currency 5 5 2 3" xfId="21467"/>
    <cellStyle name="Currency 5 5 3" xfId="9936"/>
    <cellStyle name="Currency 5 5 4" xfId="21468"/>
    <cellStyle name="Currency 5 6" xfId="6301"/>
    <cellStyle name="Currency 5 6 2" xfId="6302"/>
    <cellStyle name="Currency 5 6 2 2" xfId="11405"/>
    <cellStyle name="Currency 5 6 2 3" xfId="21465"/>
    <cellStyle name="Currency 5 6 3" xfId="6303"/>
    <cellStyle name="Currency 5 6 3 2" xfId="17117"/>
    <cellStyle name="Currency 5 6 3 2 2" xfId="30476"/>
    <cellStyle name="Currency 5 6 3 3" xfId="21464"/>
    <cellStyle name="Currency 5 6 4" xfId="9937"/>
    <cellStyle name="Currency 5 6 5" xfId="21466"/>
    <cellStyle name="Currency 5 7" xfId="6304"/>
    <cellStyle name="Currency 5 7 2" xfId="6305"/>
    <cellStyle name="Currency 5 7 2 2" xfId="13205"/>
    <cellStyle name="Currency 5 7 2 3" xfId="21462"/>
    <cellStyle name="Currency 5 7 3" xfId="6306"/>
    <cellStyle name="Currency 5 7 3 2" xfId="17206"/>
    <cellStyle name="Currency 5 7 3 2 2" xfId="30565"/>
    <cellStyle name="Currency 5 7 3 3" xfId="21461"/>
    <cellStyle name="Currency 5 7 4" xfId="11832"/>
    <cellStyle name="Currency 5 7 4 2" xfId="25547"/>
    <cellStyle name="Currency 5 7 5" xfId="21463"/>
    <cellStyle name="Currency 5 8" xfId="6307"/>
    <cellStyle name="Currency 5 8 2" xfId="6308"/>
    <cellStyle name="Currency 5 8 2 2" xfId="15662"/>
    <cellStyle name="Currency 5 8 2 3" xfId="21459"/>
    <cellStyle name="Currency 5 8 3" xfId="6309"/>
    <cellStyle name="Currency 5 8 3 2" xfId="16481"/>
    <cellStyle name="Currency 5 8 3 2 2" xfId="29888"/>
    <cellStyle name="Currency 5 8 3 3" xfId="21458"/>
    <cellStyle name="Currency 5 8 4" xfId="13433"/>
    <cellStyle name="Currency 5 8 4 2" xfId="26982"/>
    <cellStyle name="Currency 5 8 5" xfId="21460"/>
    <cellStyle name="Currency 5 9" xfId="6310"/>
    <cellStyle name="Currency 5 9 2" xfId="14014"/>
    <cellStyle name="Currency 5 9 2 2" xfId="27563"/>
    <cellStyle name="Currency 5 9 3" xfId="21457"/>
    <cellStyle name="Currency 6" xfId="6311"/>
    <cellStyle name="Currency 6 2" xfId="6312"/>
    <cellStyle name="Currency 6 2 2" xfId="17032"/>
    <cellStyle name="Currency 6 2 2 2" xfId="30438"/>
    <cellStyle name="Currency 6 2 3" xfId="21455"/>
    <cellStyle name="Currency 6 3" xfId="6313"/>
    <cellStyle name="Currency 6 3 2" xfId="17336"/>
    <cellStyle name="Currency 6 3 3" xfId="21454"/>
    <cellStyle name="Currency 6 4" xfId="8733"/>
    <cellStyle name="Currency 6 5" xfId="21456"/>
    <cellStyle name="Currency 6 6" xfId="33085"/>
    <cellStyle name="Currency 7" xfId="6314"/>
    <cellStyle name="Currency 7 2" xfId="9938"/>
    <cellStyle name="Currency 7 3" xfId="21453"/>
    <cellStyle name="Currency 8" xfId="6315"/>
    <cellStyle name="Currency 8 10" xfId="21452"/>
    <cellStyle name="Currency 8 2" xfId="6316"/>
    <cellStyle name="Currency 8 2 2" xfId="6317"/>
    <cellStyle name="Currency 8 2 2 2" xfId="6318"/>
    <cellStyle name="Currency 8 2 2 2 2" xfId="6319"/>
    <cellStyle name="Currency 8 2 2 2 2 2" xfId="11406"/>
    <cellStyle name="Currency 8 2 2 2 2 3" xfId="21448"/>
    <cellStyle name="Currency 8 2 2 2 3" xfId="6320"/>
    <cellStyle name="Currency 8 2 2 2 3 2" xfId="16936"/>
    <cellStyle name="Currency 8 2 2 2 3 2 2" xfId="30343"/>
    <cellStyle name="Currency 8 2 2 2 3 3" xfId="21447"/>
    <cellStyle name="Currency 8 2 2 2 4" xfId="9942"/>
    <cellStyle name="Currency 8 2 2 2 5" xfId="21449"/>
    <cellStyle name="Currency 8 2 2 3" xfId="6321"/>
    <cellStyle name="Currency 8 2 2 3 2" xfId="6322"/>
    <cellStyle name="Currency 8 2 2 3 2 2" xfId="13206"/>
    <cellStyle name="Currency 8 2 2 3 2 3" xfId="21445"/>
    <cellStyle name="Currency 8 2 2 3 3" xfId="12324"/>
    <cellStyle name="Currency 8 2 2 3 3 2" xfId="26036"/>
    <cellStyle name="Currency 8 2 2 3 4" xfId="21446"/>
    <cellStyle name="Currency 8 2 2 4" xfId="6323"/>
    <cellStyle name="Currency 8 2 2 4 2" xfId="6324"/>
    <cellStyle name="Currency 8 2 2 4 2 2" xfId="15663"/>
    <cellStyle name="Currency 8 2 2 4 2 3" xfId="21443"/>
    <cellStyle name="Currency 8 2 2 4 3" xfId="13888"/>
    <cellStyle name="Currency 8 2 2 4 3 2" xfId="27437"/>
    <cellStyle name="Currency 8 2 2 4 4" xfId="21444"/>
    <cellStyle name="Currency 8 2 2 5" xfId="6325"/>
    <cellStyle name="Currency 8 2 2 5 2" xfId="14469"/>
    <cellStyle name="Currency 8 2 2 5 2 2" xfId="28018"/>
    <cellStyle name="Currency 8 2 2 5 3" xfId="21442"/>
    <cellStyle name="Currency 8 2 2 6" xfId="6326"/>
    <cellStyle name="Currency 8 2 2 6 2" xfId="16355"/>
    <cellStyle name="Currency 8 2 2 6 2 2" xfId="29762"/>
    <cellStyle name="Currency 8 2 2 6 3" xfId="21441"/>
    <cellStyle name="Currency 8 2 2 7" xfId="9941"/>
    <cellStyle name="Currency 8 2 2 8" xfId="21450"/>
    <cellStyle name="Currency 8 2 3" xfId="6327"/>
    <cellStyle name="Currency 8 2 3 2" xfId="6328"/>
    <cellStyle name="Currency 8 2 3 2 2" xfId="11407"/>
    <cellStyle name="Currency 8 2 3 2 3" xfId="21439"/>
    <cellStyle name="Currency 8 2 3 3" xfId="6329"/>
    <cellStyle name="Currency 8 2 3 3 2" xfId="16647"/>
    <cellStyle name="Currency 8 2 3 3 2 2" xfId="30054"/>
    <cellStyle name="Currency 8 2 3 3 3" xfId="21438"/>
    <cellStyle name="Currency 8 2 3 4" xfId="9943"/>
    <cellStyle name="Currency 8 2 3 5" xfId="21440"/>
    <cellStyle name="Currency 8 2 4" xfId="6330"/>
    <cellStyle name="Currency 8 2 4 2" xfId="6331"/>
    <cellStyle name="Currency 8 2 4 2 2" xfId="13207"/>
    <cellStyle name="Currency 8 2 4 2 3" xfId="21436"/>
    <cellStyle name="Currency 8 2 4 3" xfId="12024"/>
    <cellStyle name="Currency 8 2 4 3 2" xfId="25739"/>
    <cellStyle name="Currency 8 2 4 4" xfId="21437"/>
    <cellStyle name="Currency 8 2 5" xfId="6332"/>
    <cellStyle name="Currency 8 2 5 2" xfId="6333"/>
    <cellStyle name="Currency 8 2 5 2 2" xfId="15664"/>
    <cellStyle name="Currency 8 2 5 2 3" xfId="21434"/>
    <cellStyle name="Currency 8 2 5 3" xfId="13599"/>
    <cellStyle name="Currency 8 2 5 3 2" xfId="27148"/>
    <cellStyle name="Currency 8 2 5 4" xfId="21435"/>
    <cellStyle name="Currency 8 2 6" xfId="6334"/>
    <cellStyle name="Currency 8 2 6 2" xfId="14180"/>
    <cellStyle name="Currency 8 2 6 2 2" xfId="27729"/>
    <cellStyle name="Currency 8 2 6 3" xfId="21433"/>
    <cellStyle name="Currency 8 2 7" xfId="6335"/>
    <cellStyle name="Currency 8 2 7 2" xfId="16066"/>
    <cellStyle name="Currency 8 2 7 2 2" xfId="29473"/>
    <cellStyle name="Currency 8 2 7 3" xfId="21432"/>
    <cellStyle name="Currency 8 2 8" xfId="9940"/>
    <cellStyle name="Currency 8 2 9" xfId="21451"/>
    <cellStyle name="Currency 8 3" xfId="6336"/>
    <cellStyle name="Currency 8 3 2" xfId="6337"/>
    <cellStyle name="Currency 8 3 2 2" xfId="6338"/>
    <cellStyle name="Currency 8 3 2 2 2" xfId="11408"/>
    <cellStyle name="Currency 8 3 2 2 3" xfId="21429"/>
    <cellStyle name="Currency 8 3 2 3" xfId="6339"/>
    <cellStyle name="Currency 8 3 2 3 2" xfId="16793"/>
    <cellStyle name="Currency 8 3 2 3 2 2" xfId="30200"/>
    <cellStyle name="Currency 8 3 2 3 3" xfId="21428"/>
    <cellStyle name="Currency 8 3 2 4" xfId="9945"/>
    <cellStyle name="Currency 8 3 2 5" xfId="21430"/>
    <cellStyle name="Currency 8 3 3" xfId="6340"/>
    <cellStyle name="Currency 8 3 3 2" xfId="6341"/>
    <cellStyle name="Currency 8 3 3 2 2" xfId="13208"/>
    <cellStyle name="Currency 8 3 3 2 3" xfId="21426"/>
    <cellStyle name="Currency 8 3 3 3" xfId="12181"/>
    <cellStyle name="Currency 8 3 3 3 2" xfId="25893"/>
    <cellStyle name="Currency 8 3 3 4" xfId="21427"/>
    <cellStyle name="Currency 8 3 4" xfId="6342"/>
    <cellStyle name="Currency 8 3 4 2" xfId="6343"/>
    <cellStyle name="Currency 8 3 4 2 2" xfId="15665"/>
    <cellStyle name="Currency 8 3 4 2 3" xfId="21424"/>
    <cellStyle name="Currency 8 3 4 3" xfId="13745"/>
    <cellStyle name="Currency 8 3 4 3 2" xfId="27294"/>
    <cellStyle name="Currency 8 3 4 4" xfId="21425"/>
    <cellStyle name="Currency 8 3 5" xfId="6344"/>
    <cellStyle name="Currency 8 3 5 2" xfId="14326"/>
    <cellStyle name="Currency 8 3 5 2 2" xfId="27875"/>
    <cellStyle name="Currency 8 3 5 3" xfId="21423"/>
    <cellStyle name="Currency 8 3 6" xfId="6345"/>
    <cellStyle name="Currency 8 3 6 2" xfId="16212"/>
    <cellStyle name="Currency 8 3 6 2 2" xfId="29619"/>
    <cellStyle name="Currency 8 3 6 3" xfId="21422"/>
    <cellStyle name="Currency 8 3 7" xfId="9944"/>
    <cellStyle name="Currency 8 3 8" xfId="21431"/>
    <cellStyle name="Currency 8 4" xfId="6346"/>
    <cellStyle name="Currency 8 4 2" xfId="6347"/>
    <cellStyle name="Currency 8 4 2 2" xfId="11409"/>
    <cellStyle name="Currency 8 4 2 3" xfId="21420"/>
    <cellStyle name="Currency 8 4 3" xfId="6348"/>
    <cellStyle name="Currency 8 4 3 2" xfId="17140"/>
    <cellStyle name="Currency 8 4 3 2 2" xfId="30499"/>
    <cellStyle name="Currency 8 4 3 3" xfId="21419"/>
    <cellStyle name="Currency 8 4 4" xfId="9946"/>
    <cellStyle name="Currency 8 4 5" xfId="21421"/>
    <cellStyle name="Currency 8 5" xfId="6349"/>
    <cellStyle name="Currency 8 5 2" xfId="6350"/>
    <cellStyle name="Currency 8 5 2 2" xfId="13209"/>
    <cellStyle name="Currency 8 5 2 3" xfId="21417"/>
    <cellStyle name="Currency 8 5 3" xfId="6351"/>
    <cellStyle name="Currency 8 5 3 2" xfId="17229"/>
    <cellStyle name="Currency 8 5 3 2 2" xfId="30588"/>
    <cellStyle name="Currency 8 5 3 3" xfId="21416"/>
    <cellStyle name="Currency 8 5 4" xfId="11876"/>
    <cellStyle name="Currency 8 5 4 2" xfId="25591"/>
    <cellStyle name="Currency 8 5 5" xfId="21418"/>
    <cellStyle name="Currency 8 6" xfId="6352"/>
    <cellStyle name="Currency 8 6 2" xfId="6353"/>
    <cellStyle name="Currency 8 6 2 2" xfId="15666"/>
    <cellStyle name="Currency 8 6 2 3" xfId="21414"/>
    <cellStyle name="Currency 8 6 3" xfId="6354"/>
    <cellStyle name="Currency 8 6 3 2" xfId="16504"/>
    <cellStyle name="Currency 8 6 3 2 2" xfId="29911"/>
    <cellStyle name="Currency 8 6 3 3" xfId="21413"/>
    <cellStyle name="Currency 8 6 4" xfId="13456"/>
    <cellStyle name="Currency 8 6 4 2" xfId="27005"/>
    <cellStyle name="Currency 8 6 5" xfId="21415"/>
    <cellStyle name="Currency 8 7" xfId="6355"/>
    <cellStyle name="Currency 8 7 2" xfId="14037"/>
    <cellStyle name="Currency 8 7 2 2" xfId="27586"/>
    <cellStyle name="Currency 8 7 3" xfId="21412"/>
    <cellStyle name="Currency 8 8" xfId="6356"/>
    <cellStyle name="Currency 8 8 2" xfId="15923"/>
    <cellStyle name="Currency 8 8 2 2" xfId="29330"/>
    <cellStyle name="Currency 8 8 3" xfId="21411"/>
    <cellStyle name="Currency 8 9" xfId="9939"/>
    <cellStyle name="Currency 9" xfId="6357"/>
    <cellStyle name="Currency 9 2" xfId="9947"/>
    <cellStyle name="Currency 9 3" xfId="21410"/>
    <cellStyle name="Currency0" xfId="6358"/>
    <cellStyle name="Currency0 2" xfId="6359"/>
    <cellStyle name="Currency0 2 2" xfId="6360"/>
    <cellStyle name="Currency0 2 2 2" xfId="17033"/>
    <cellStyle name="Currency0 2 2 3" xfId="21407"/>
    <cellStyle name="Currency0 2 3" xfId="8669"/>
    <cellStyle name="Currency0 2 4" xfId="21408"/>
    <cellStyle name="Currency0 3" xfId="6361"/>
    <cellStyle name="Currency0 3 2" xfId="8727"/>
    <cellStyle name="Currency0 3 2 2" xfId="17337"/>
    <cellStyle name="Currency0 3 3" xfId="17296"/>
    <cellStyle name="Currency0 3 4" xfId="9948"/>
    <cellStyle name="Currency0 3 5" xfId="21406"/>
    <cellStyle name="Currency0 4" xfId="8662"/>
    <cellStyle name="Currency0 5" xfId="21409"/>
    <cellStyle name="Date" xfId="6362"/>
    <cellStyle name="Date 2" xfId="6363"/>
    <cellStyle name="Date 2 2" xfId="6364"/>
    <cellStyle name="Date 2 2 2" xfId="17034"/>
    <cellStyle name="Date 2 2 3" xfId="21403"/>
    <cellStyle name="Date 2 3" xfId="8697"/>
    <cellStyle name="Date 2 4" xfId="21404"/>
    <cellStyle name="Date 3" xfId="6365"/>
    <cellStyle name="Date 3 2" xfId="8670"/>
    <cellStyle name="Date 3 3" xfId="21402"/>
    <cellStyle name="Date 4" xfId="6366"/>
    <cellStyle name="Date 4 2" xfId="8741"/>
    <cellStyle name="Date 4 2 2" xfId="17338"/>
    <cellStyle name="Date 4 3" xfId="17297"/>
    <cellStyle name="Date 4 4" xfId="9949"/>
    <cellStyle name="Date 4 5" xfId="30691"/>
    <cellStyle name="Date 5" xfId="8661"/>
    <cellStyle name="Date 6" xfId="21405"/>
    <cellStyle name="Explanatory Text" xfId="33036" builtinId="53" customBuiltin="1"/>
    <cellStyle name="Explanatory Text 2" xfId="6368"/>
    <cellStyle name="Explanatory Text 2 2" xfId="8740"/>
    <cellStyle name="Explanatory Text 2 3" xfId="30693"/>
    <cellStyle name="Explanatory Text 2 4" xfId="33059"/>
    <cellStyle name="Explanatory Text 3" xfId="8815"/>
    <cellStyle name="Explanatory Text 4" xfId="30692"/>
    <cellStyle name="Explanatory Text 5" xfId="6367"/>
    <cellStyle name="Fixed" xfId="6369"/>
    <cellStyle name="Fixed 2" xfId="6370"/>
    <cellStyle name="Fixed 2 2" xfId="6371"/>
    <cellStyle name="Fixed 2 2 2" xfId="17035"/>
    <cellStyle name="Fixed 2 2 3" xfId="30696"/>
    <cellStyle name="Fixed 2 3" xfId="8671"/>
    <cellStyle name="Fixed 2 4" xfId="30695"/>
    <cellStyle name="Fixed 3" xfId="6372"/>
    <cellStyle name="Fixed 3 2" xfId="8731"/>
    <cellStyle name="Fixed 3 2 2" xfId="17339"/>
    <cellStyle name="Fixed 3 3" xfId="17298"/>
    <cellStyle name="Fixed 3 4" xfId="9950"/>
    <cellStyle name="Fixed 3 5" xfId="30697"/>
    <cellStyle name="Fixed 4" xfId="8663"/>
    <cellStyle name="Fixed 5" xfId="30694"/>
    <cellStyle name="Good" xfId="19" builtinId="26" customBuiltin="1"/>
    <cellStyle name="Good 10" xfId="6373"/>
    <cellStyle name="Good 10 2" xfId="9952"/>
    <cellStyle name="Good 10 3" xfId="30698"/>
    <cellStyle name="Good 11" xfId="6374"/>
    <cellStyle name="Good 11 2" xfId="9953"/>
    <cellStyle name="Good 11 3" xfId="30699"/>
    <cellStyle name="Good 12" xfId="6375"/>
    <cellStyle name="Good 12 2" xfId="6376"/>
    <cellStyle name="Good 12 2 2" xfId="15667"/>
    <cellStyle name="Good 12 2 3" xfId="30701"/>
    <cellStyle name="Good 12 3" xfId="10489"/>
    <cellStyle name="Good 12 4" xfId="30700"/>
    <cellStyle name="Good 13" xfId="6377"/>
    <cellStyle name="Good 13 2" xfId="11410"/>
    <cellStyle name="Good 13 3" xfId="30702"/>
    <cellStyle name="Good 14" xfId="6378"/>
    <cellStyle name="Good 14 2" xfId="9951"/>
    <cellStyle name="Good 14 3" xfId="30703"/>
    <cellStyle name="Good 2" xfId="6379"/>
    <cellStyle name="Good 2 2" xfId="9954"/>
    <cellStyle name="Good 2 3" xfId="30704"/>
    <cellStyle name="Good 2 4" xfId="33049"/>
    <cellStyle name="Good 3" xfId="6380"/>
    <cellStyle name="Good 3 2" xfId="6381"/>
    <cellStyle name="Good 3 2 2" xfId="9956"/>
    <cellStyle name="Good 3 2 3" xfId="30706"/>
    <cellStyle name="Good 3 3" xfId="9955"/>
    <cellStyle name="Good 3 4" xfId="30705"/>
    <cellStyle name="Good 4" xfId="6382"/>
    <cellStyle name="Good 4 2" xfId="6383"/>
    <cellStyle name="Good 4 2 2" xfId="13211"/>
    <cellStyle name="Good 4 2 3" xfId="30708"/>
    <cellStyle name="Good 4 3" xfId="6384"/>
    <cellStyle name="Good 4 3 2" xfId="13210"/>
    <cellStyle name="Good 4 3 3" xfId="30709"/>
    <cellStyle name="Good 4 4" xfId="9957"/>
    <cellStyle name="Good 4 5" xfId="30707"/>
    <cellStyle name="Good 5" xfId="6385"/>
    <cellStyle name="Good 5 2" xfId="6386"/>
    <cellStyle name="Good 5 2 2" xfId="9959"/>
    <cellStyle name="Good 5 2 3" xfId="30711"/>
    <cellStyle name="Good 5 3" xfId="9958"/>
    <cellStyle name="Good 5 4" xfId="30710"/>
    <cellStyle name="Good 6" xfId="6387"/>
    <cellStyle name="Good 6 2" xfId="9960"/>
    <cellStyle name="Good 6 3" xfId="30712"/>
    <cellStyle name="Good 7" xfId="6388"/>
    <cellStyle name="Good 7 2" xfId="9961"/>
    <cellStyle name="Good 7 3" xfId="30713"/>
    <cellStyle name="Good 8" xfId="6389"/>
    <cellStyle name="Good 8 2" xfId="9962"/>
    <cellStyle name="Good 8 3" xfId="30714"/>
    <cellStyle name="Good 9" xfId="6390"/>
    <cellStyle name="Good 9 2" xfId="9963"/>
    <cellStyle name="Good 9 3" xfId="30715"/>
    <cellStyle name="Heading 1" xfId="15" builtinId="16" customBuiltin="1"/>
    <cellStyle name="Heading 1 2" xfId="6391"/>
    <cellStyle name="Heading 1 2 10" xfId="6392"/>
    <cellStyle name="Heading 1 2 10 2" xfId="6393"/>
    <cellStyle name="Heading 1 2 10 2 2" xfId="11412"/>
    <cellStyle name="Heading 1 2 10 2 3" xfId="30718"/>
    <cellStyle name="Heading 1 2 10 3" xfId="9966"/>
    <cellStyle name="Heading 1 2 10 4" xfId="30717"/>
    <cellStyle name="Heading 1 2 11" xfId="6394"/>
    <cellStyle name="Heading 1 2 11 2" xfId="6395"/>
    <cellStyle name="Heading 1 2 11 2 2" xfId="11413"/>
    <cellStyle name="Heading 1 2 11 2 3" xfId="30720"/>
    <cellStyle name="Heading 1 2 11 3" xfId="9967"/>
    <cellStyle name="Heading 1 2 11 4" xfId="30719"/>
    <cellStyle name="Heading 1 2 12" xfId="6396"/>
    <cellStyle name="Heading 1 2 12 2" xfId="6397"/>
    <cellStyle name="Heading 1 2 12 2 2" xfId="11414"/>
    <cellStyle name="Heading 1 2 12 2 3" xfId="30722"/>
    <cellStyle name="Heading 1 2 12 3" xfId="9968"/>
    <cellStyle name="Heading 1 2 12 4" xfId="30721"/>
    <cellStyle name="Heading 1 2 13" xfId="6398"/>
    <cellStyle name="Heading 1 2 13 2" xfId="6399"/>
    <cellStyle name="Heading 1 2 13 2 2" xfId="15668"/>
    <cellStyle name="Heading 1 2 13 2 3" xfId="30724"/>
    <cellStyle name="Heading 1 2 13 3" xfId="9969"/>
    <cellStyle name="Heading 1 2 13 4" xfId="30723"/>
    <cellStyle name="Heading 1 2 14" xfId="6400"/>
    <cellStyle name="Heading 1 2 14 2" xfId="6401"/>
    <cellStyle name="Heading 1 2 14 2 2" xfId="15669"/>
    <cellStyle name="Heading 1 2 14 2 3" xfId="30726"/>
    <cellStyle name="Heading 1 2 14 3" xfId="10490"/>
    <cellStyle name="Heading 1 2 14 4" xfId="30725"/>
    <cellStyle name="Heading 1 2 15" xfId="6402"/>
    <cellStyle name="Heading 1 2 15 2" xfId="11411"/>
    <cellStyle name="Heading 1 2 15 3" xfId="30727"/>
    <cellStyle name="Heading 1 2 16" xfId="8664"/>
    <cellStyle name="Heading 1 2 16 2" xfId="9965"/>
    <cellStyle name="Heading 1 2 17" xfId="17303"/>
    <cellStyle name="Heading 1 2 18" xfId="30716"/>
    <cellStyle name="Heading 1 2 19" xfId="33045"/>
    <cellStyle name="Heading 1 2 2" xfId="6403"/>
    <cellStyle name="Heading 1 2 2 2" xfId="6404"/>
    <cellStyle name="Heading 1 2 2 2 2" xfId="6405"/>
    <cellStyle name="Heading 1 2 2 2 2 2" xfId="11415"/>
    <cellStyle name="Heading 1 2 2 2 2 3" xfId="30730"/>
    <cellStyle name="Heading 1 2 2 2 3" xfId="9971"/>
    <cellStyle name="Heading 1 2 2 2 4" xfId="30729"/>
    <cellStyle name="Heading 1 2 2 3" xfId="6406"/>
    <cellStyle name="Heading 1 2 2 3 2" xfId="6407"/>
    <cellStyle name="Heading 1 2 2 3 2 2" xfId="15670"/>
    <cellStyle name="Heading 1 2 2 3 2 3" xfId="30732"/>
    <cellStyle name="Heading 1 2 2 3 3" xfId="11664"/>
    <cellStyle name="Heading 1 2 2 3 4" xfId="30731"/>
    <cellStyle name="Heading 1 2 2 4" xfId="6408"/>
    <cellStyle name="Heading 1 2 2 4 2" xfId="12089"/>
    <cellStyle name="Heading 1 2 2 4 3" xfId="30733"/>
    <cellStyle name="Heading 1 2 2 5" xfId="6409"/>
    <cellStyle name="Heading 1 2 2 5 2" xfId="9970"/>
    <cellStyle name="Heading 1 2 2 5 3" xfId="30734"/>
    <cellStyle name="Heading 1 2 2 6" xfId="8693"/>
    <cellStyle name="Heading 1 2 2 7" xfId="30728"/>
    <cellStyle name="Heading 1 2 3" xfId="6410"/>
    <cellStyle name="Heading 1 2 3 2" xfId="6411"/>
    <cellStyle name="Heading 1 2 3 2 2" xfId="9973"/>
    <cellStyle name="Heading 1 2 3 2 3" xfId="30736"/>
    <cellStyle name="Heading 1 2 3 3" xfId="6412"/>
    <cellStyle name="Heading 1 2 3 3 2" xfId="11416"/>
    <cellStyle name="Heading 1 2 3 3 3" xfId="30737"/>
    <cellStyle name="Heading 1 2 3 4" xfId="6413"/>
    <cellStyle name="Heading 1 2 3 4 2" xfId="17340"/>
    <cellStyle name="Heading 1 2 3 4 3" xfId="30738"/>
    <cellStyle name="Heading 1 2 3 5" xfId="8725"/>
    <cellStyle name="Heading 1 2 3 6" xfId="9972"/>
    <cellStyle name="Heading 1 2 3 7" xfId="30735"/>
    <cellStyle name="Heading 1 2 4" xfId="6414"/>
    <cellStyle name="Heading 1 2 4 2" xfId="6415"/>
    <cellStyle name="Heading 1 2 4 2 2" xfId="9975"/>
    <cellStyle name="Heading 1 2 4 2 3" xfId="30740"/>
    <cellStyle name="Heading 1 2 4 3" xfId="6416"/>
    <cellStyle name="Heading 1 2 4 3 2" xfId="13213"/>
    <cellStyle name="Heading 1 2 4 3 3" xfId="30741"/>
    <cellStyle name="Heading 1 2 4 4" xfId="6417"/>
    <cellStyle name="Heading 1 2 4 4 2" xfId="13212"/>
    <cellStyle name="Heading 1 2 4 4 3" xfId="30742"/>
    <cellStyle name="Heading 1 2 4 5" xfId="9974"/>
    <cellStyle name="Heading 1 2 4 6" xfId="30739"/>
    <cellStyle name="Heading 1 2 5" xfId="6418"/>
    <cellStyle name="Heading 1 2 5 2" xfId="6419"/>
    <cellStyle name="Heading 1 2 5 2 2" xfId="13215"/>
    <cellStyle name="Heading 1 2 5 2 3" xfId="30744"/>
    <cellStyle name="Heading 1 2 5 3" xfId="6420"/>
    <cellStyle name="Heading 1 2 5 3 2" xfId="13214"/>
    <cellStyle name="Heading 1 2 5 3 3" xfId="30745"/>
    <cellStyle name="Heading 1 2 5 4" xfId="6421"/>
    <cellStyle name="Heading 1 2 5 4 2" xfId="15671"/>
    <cellStyle name="Heading 1 2 5 4 3" xfId="30746"/>
    <cellStyle name="Heading 1 2 5 5" xfId="9976"/>
    <cellStyle name="Heading 1 2 5 6" xfId="30743"/>
    <cellStyle name="Heading 1 2 6" xfId="6422"/>
    <cellStyle name="Heading 1 2 6 2" xfId="6423"/>
    <cellStyle name="Heading 1 2 6 2 2" xfId="6424"/>
    <cellStyle name="Heading 1 2 6 2 2 2" xfId="11418"/>
    <cellStyle name="Heading 1 2 6 2 2 3" xfId="30749"/>
    <cellStyle name="Heading 1 2 6 2 3" xfId="9978"/>
    <cellStyle name="Heading 1 2 6 2 4" xfId="30748"/>
    <cellStyle name="Heading 1 2 6 3" xfId="6425"/>
    <cellStyle name="Heading 1 2 6 3 2" xfId="11417"/>
    <cellStyle name="Heading 1 2 6 3 3" xfId="30750"/>
    <cellStyle name="Heading 1 2 6 4" xfId="9977"/>
    <cellStyle name="Heading 1 2 6 5" xfId="30747"/>
    <cellStyle name="Heading 1 2 7" xfId="6426"/>
    <cellStyle name="Heading 1 2 7 2" xfId="6427"/>
    <cellStyle name="Heading 1 2 7 2 2" xfId="6428"/>
    <cellStyle name="Heading 1 2 7 2 2 2" xfId="11420"/>
    <cellStyle name="Heading 1 2 7 2 2 3" xfId="30753"/>
    <cellStyle name="Heading 1 2 7 2 3" xfId="9980"/>
    <cellStyle name="Heading 1 2 7 2 4" xfId="30752"/>
    <cellStyle name="Heading 1 2 7 3" xfId="6429"/>
    <cellStyle name="Heading 1 2 7 3 2" xfId="11419"/>
    <cellStyle name="Heading 1 2 7 3 3" xfId="30754"/>
    <cellStyle name="Heading 1 2 7 4" xfId="9979"/>
    <cellStyle name="Heading 1 2 7 5" xfId="30751"/>
    <cellStyle name="Heading 1 2 8" xfId="6430"/>
    <cellStyle name="Heading 1 2 8 2" xfId="6431"/>
    <cellStyle name="Heading 1 2 8 2 2" xfId="11421"/>
    <cellStyle name="Heading 1 2 8 2 3" xfId="30756"/>
    <cellStyle name="Heading 1 2 8 3" xfId="9981"/>
    <cellStyle name="Heading 1 2 8 4" xfId="30755"/>
    <cellStyle name="Heading 1 2 9" xfId="6432"/>
    <cellStyle name="Heading 1 2 9 2" xfId="6433"/>
    <cellStyle name="Heading 1 2 9 2 2" xfId="11422"/>
    <cellStyle name="Heading 1 2 9 2 3" xfId="30758"/>
    <cellStyle name="Heading 1 2 9 3" xfId="9982"/>
    <cellStyle name="Heading 1 2 9 4" xfId="30757"/>
    <cellStyle name="Heading 1 3" xfId="6434"/>
    <cellStyle name="Heading 1 3 2" xfId="8672"/>
    <cellStyle name="Heading 1 3 3" xfId="30759"/>
    <cellStyle name="Heading 1 3 4" xfId="33090"/>
    <cellStyle name="Heading 1 4" xfId="6435"/>
    <cellStyle name="Heading 1 4 2" xfId="9983"/>
    <cellStyle name="Heading 1 4 3" xfId="30760"/>
    <cellStyle name="Heading 1 5" xfId="6436"/>
    <cellStyle name="Heading 1 5 2" xfId="9984"/>
    <cellStyle name="Heading 1 5 3" xfId="30761"/>
    <cellStyle name="Heading 1 6" xfId="6437"/>
    <cellStyle name="Heading 1 6 2" xfId="9985"/>
    <cellStyle name="Heading 1 6 3" xfId="30762"/>
    <cellStyle name="Heading 1 7" xfId="6438"/>
    <cellStyle name="Heading 1 7 2" xfId="9986"/>
    <cellStyle name="Heading 1 7 3" xfId="30763"/>
    <cellStyle name="Heading 1 8" xfId="9964"/>
    <cellStyle name="Heading 2" xfId="16" builtinId="17" customBuiltin="1"/>
    <cellStyle name="Heading 2 2" xfId="6439"/>
    <cellStyle name="Heading 2 2 10" xfId="6440"/>
    <cellStyle name="Heading 2 2 10 2" xfId="6441"/>
    <cellStyle name="Heading 2 2 10 2 2" xfId="11424"/>
    <cellStyle name="Heading 2 2 10 2 3" xfId="30766"/>
    <cellStyle name="Heading 2 2 10 3" xfId="9989"/>
    <cellStyle name="Heading 2 2 10 4" xfId="30765"/>
    <cellStyle name="Heading 2 2 11" xfId="6442"/>
    <cellStyle name="Heading 2 2 11 2" xfId="6443"/>
    <cellStyle name="Heading 2 2 11 2 2" xfId="11425"/>
    <cellStyle name="Heading 2 2 11 2 3" xfId="30768"/>
    <cellStyle name="Heading 2 2 11 3" xfId="9990"/>
    <cellStyle name="Heading 2 2 11 4" xfId="30767"/>
    <cellStyle name="Heading 2 2 12" xfId="6444"/>
    <cellStyle name="Heading 2 2 12 2" xfId="6445"/>
    <cellStyle name="Heading 2 2 12 2 2" xfId="11426"/>
    <cellStyle name="Heading 2 2 12 2 3" xfId="30770"/>
    <cellStyle name="Heading 2 2 12 3" xfId="9991"/>
    <cellStyle name="Heading 2 2 12 4" xfId="30769"/>
    <cellStyle name="Heading 2 2 13" xfId="6446"/>
    <cellStyle name="Heading 2 2 13 2" xfId="6447"/>
    <cellStyle name="Heading 2 2 13 2 2" xfId="15672"/>
    <cellStyle name="Heading 2 2 13 2 3" xfId="30772"/>
    <cellStyle name="Heading 2 2 13 3" xfId="9992"/>
    <cellStyle name="Heading 2 2 13 4" xfId="30771"/>
    <cellStyle name="Heading 2 2 14" xfId="6448"/>
    <cellStyle name="Heading 2 2 14 2" xfId="6449"/>
    <cellStyle name="Heading 2 2 14 2 2" xfId="15673"/>
    <cellStyle name="Heading 2 2 14 2 3" xfId="30774"/>
    <cellStyle name="Heading 2 2 14 3" xfId="10491"/>
    <cellStyle name="Heading 2 2 14 4" xfId="30773"/>
    <cellStyle name="Heading 2 2 15" xfId="6450"/>
    <cellStyle name="Heading 2 2 15 2" xfId="11423"/>
    <cellStyle name="Heading 2 2 15 3" xfId="30775"/>
    <cellStyle name="Heading 2 2 16" xfId="8665"/>
    <cellStyle name="Heading 2 2 16 2" xfId="9988"/>
    <cellStyle name="Heading 2 2 17" xfId="17304"/>
    <cellStyle name="Heading 2 2 18" xfId="30764"/>
    <cellStyle name="Heading 2 2 19" xfId="33046"/>
    <cellStyle name="Heading 2 2 2" xfId="6451"/>
    <cellStyle name="Heading 2 2 2 2" xfId="6452"/>
    <cellStyle name="Heading 2 2 2 2 2" xfId="6453"/>
    <cellStyle name="Heading 2 2 2 2 2 2" xfId="11427"/>
    <cellStyle name="Heading 2 2 2 2 2 3" xfId="30778"/>
    <cellStyle name="Heading 2 2 2 2 3" xfId="9994"/>
    <cellStyle name="Heading 2 2 2 2 4" xfId="30777"/>
    <cellStyle name="Heading 2 2 2 3" xfId="6454"/>
    <cellStyle name="Heading 2 2 2 3 2" xfId="6455"/>
    <cellStyle name="Heading 2 2 2 3 2 2" xfId="15674"/>
    <cellStyle name="Heading 2 2 2 3 2 3" xfId="30780"/>
    <cellStyle name="Heading 2 2 2 3 3" xfId="11727"/>
    <cellStyle name="Heading 2 2 2 3 4" xfId="30779"/>
    <cellStyle name="Heading 2 2 2 4" xfId="6456"/>
    <cellStyle name="Heading 2 2 2 4 2" xfId="12103"/>
    <cellStyle name="Heading 2 2 2 4 3" xfId="30781"/>
    <cellStyle name="Heading 2 2 2 5" xfId="6457"/>
    <cellStyle name="Heading 2 2 2 5 2" xfId="9993"/>
    <cellStyle name="Heading 2 2 2 5 3" xfId="30782"/>
    <cellStyle name="Heading 2 2 2 6" xfId="8694"/>
    <cellStyle name="Heading 2 2 2 7" xfId="30776"/>
    <cellStyle name="Heading 2 2 3" xfId="6458"/>
    <cellStyle name="Heading 2 2 3 2" xfId="6459"/>
    <cellStyle name="Heading 2 2 3 2 2" xfId="9996"/>
    <cellStyle name="Heading 2 2 3 2 3" xfId="30784"/>
    <cellStyle name="Heading 2 2 3 3" xfId="6460"/>
    <cellStyle name="Heading 2 2 3 3 2" xfId="11428"/>
    <cellStyle name="Heading 2 2 3 3 3" xfId="30785"/>
    <cellStyle name="Heading 2 2 3 4" xfId="6461"/>
    <cellStyle name="Heading 2 2 3 4 2" xfId="17341"/>
    <cellStyle name="Heading 2 2 3 4 3" xfId="30786"/>
    <cellStyle name="Heading 2 2 3 5" xfId="8729"/>
    <cellStyle name="Heading 2 2 3 6" xfId="9995"/>
    <cellStyle name="Heading 2 2 3 7" xfId="30783"/>
    <cellStyle name="Heading 2 2 4" xfId="6462"/>
    <cellStyle name="Heading 2 2 4 2" xfId="6463"/>
    <cellStyle name="Heading 2 2 4 2 2" xfId="9998"/>
    <cellStyle name="Heading 2 2 4 2 3" xfId="30788"/>
    <cellStyle name="Heading 2 2 4 3" xfId="6464"/>
    <cellStyle name="Heading 2 2 4 3 2" xfId="13217"/>
    <cellStyle name="Heading 2 2 4 3 3" xfId="30789"/>
    <cellStyle name="Heading 2 2 4 4" xfId="6465"/>
    <cellStyle name="Heading 2 2 4 4 2" xfId="13216"/>
    <cellStyle name="Heading 2 2 4 4 3" xfId="30790"/>
    <cellStyle name="Heading 2 2 4 5" xfId="9997"/>
    <cellStyle name="Heading 2 2 4 6" xfId="30787"/>
    <cellStyle name="Heading 2 2 5" xfId="6466"/>
    <cellStyle name="Heading 2 2 5 2" xfId="6467"/>
    <cellStyle name="Heading 2 2 5 2 2" xfId="13219"/>
    <cellStyle name="Heading 2 2 5 2 3" xfId="30792"/>
    <cellStyle name="Heading 2 2 5 3" xfId="6468"/>
    <cellStyle name="Heading 2 2 5 3 2" xfId="13218"/>
    <cellStyle name="Heading 2 2 5 3 3" xfId="30793"/>
    <cellStyle name="Heading 2 2 5 4" xfId="6469"/>
    <cellStyle name="Heading 2 2 5 4 2" xfId="15675"/>
    <cellStyle name="Heading 2 2 5 4 3" xfId="30794"/>
    <cellStyle name="Heading 2 2 5 5" xfId="9999"/>
    <cellStyle name="Heading 2 2 5 6" xfId="30791"/>
    <cellStyle name="Heading 2 2 6" xfId="6470"/>
    <cellStyle name="Heading 2 2 6 2" xfId="6471"/>
    <cellStyle name="Heading 2 2 6 2 2" xfId="6472"/>
    <cellStyle name="Heading 2 2 6 2 2 2" xfId="11430"/>
    <cellStyle name="Heading 2 2 6 2 2 3" xfId="30797"/>
    <cellStyle name="Heading 2 2 6 2 3" xfId="10001"/>
    <cellStyle name="Heading 2 2 6 2 4" xfId="30796"/>
    <cellStyle name="Heading 2 2 6 3" xfId="6473"/>
    <cellStyle name="Heading 2 2 6 3 2" xfId="11429"/>
    <cellStyle name="Heading 2 2 6 3 3" xfId="30798"/>
    <cellStyle name="Heading 2 2 6 4" xfId="10000"/>
    <cellStyle name="Heading 2 2 6 5" xfId="30795"/>
    <cellStyle name="Heading 2 2 7" xfId="6474"/>
    <cellStyle name="Heading 2 2 7 2" xfId="6475"/>
    <cellStyle name="Heading 2 2 7 2 2" xfId="6476"/>
    <cellStyle name="Heading 2 2 7 2 2 2" xfId="11432"/>
    <cellStyle name="Heading 2 2 7 2 2 3" xfId="30801"/>
    <cellStyle name="Heading 2 2 7 2 3" xfId="10003"/>
    <cellStyle name="Heading 2 2 7 2 4" xfId="30800"/>
    <cellStyle name="Heading 2 2 7 3" xfId="6477"/>
    <cellStyle name="Heading 2 2 7 3 2" xfId="11431"/>
    <cellStyle name="Heading 2 2 7 3 3" xfId="30802"/>
    <cellStyle name="Heading 2 2 7 4" xfId="10002"/>
    <cellStyle name="Heading 2 2 7 5" xfId="30799"/>
    <cellStyle name="Heading 2 2 8" xfId="6478"/>
    <cellStyle name="Heading 2 2 8 2" xfId="6479"/>
    <cellStyle name="Heading 2 2 8 2 2" xfId="11433"/>
    <cellStyle name="Heading 2 2 8 2 3" xfId="30804"/>
    <cellStyle name="Heading 2 2 8 3" xfId="10004"/>
    <cellStyle name="Heading 2 2 8 4" xfId="30803"/>
    <cellStyle name="Heading 2 2 9" xfId="6480"/>
    <cellStyle name="Heading 2 2 9 2" xfId="6481"/>
    <cellStyle name="Heading 2 2 9 2 2" xfId="11434"/>
    <cellStyle name="Heading 2 2 9 2 3" xfId="30806"/>
    <cellStyle name="Heading 2 2 9 3" xfId="10005"/>
    <cellStyle name="Heading 2 2 9 4" xfId="30805"/>
    <cellStyle name="Heading 2 3" xfId="6482"/>
    <cellStyle name="Heading 2 3 2" xfId="8673"/>
    <cellStyle name="Heading 2 3 3" xfId="30807"/>
    <cellStyle name="Heading 2 3 4" xfId="33091"/>
    <cellStyle name="Heading 2 4" xfId="6483"/>
    <cellStyle name="Heading 2 4 2" xfId="10006"/>
    <cellStyle name="Heading 2 4 3" xfId="30808"/>
    <cellStyle name="Heading 2 5" xfId="6484"/>
    <cellStyle name="Heading 2 5 2" xfId="10007"/>
    <cellStyle name="Heading 2 5 3" xfId="30809"/>
    <cellStyle name="Heading 2 6" xfId="6485"/>
    <cellStyle name="Heading 2 6 2" xfId="10008"/>
    <cellStyle name="Heading 2 6 3" xfId="30810"/>
    <cellStyle name="Heading 2 7" xfId="6486"/>
    <cellStyle name="Heading 2 7 2" xfId="10009"/>
    <cellStyle name="Heading 2 7 3" xfId="30811"/>
    <cellStyle name="Heading 2 8" xfId="9987"/>
    <cellStyle name="Heading 3" xfId="17" builtinId="18" customBuiltin="1"/>
    <cellStyle name="Heading 3 10" xfId="6487"/>
    <cellStyle name="Heading 3 10 2" xfId="6488"/>
    <cellStyle name="Heading 3 10 2 2" xfId="11436"/>
    <cellStyle name="Heading 3 10 2 3" xfId="30813"/>
    <cellStyle name="Heading 3 10 3" xfId="10011"/>
    <cellStyle name="Heading 3 10 4" xfId="30812"/>
    <cellStyle name="Heading 3 11" xfId="6489"/>
    <cellStyle name="Heading 3 11 2" xfId="6490"/>
    <cellStyle name="Heading 3 11 2 2" xfId="11437"/>
    <cellStyle name="Heading 3 11 2 3" xfId="30815"/>
    <cellStyle name="Heading 3 11 3" xfId="10012"/>
    <cellStyle name="Heading 3 11 4" xfId="30814"/>
    <cellStyle name="Heading 3 12" xfId="6491"/>
    <cellStyle name="Heading 3 12 2" xfId="6492"/>
    <cellStyle name="Heading 3 12 2 2" xfId="15676"/>
    <cellStyle name="Heading 3 12 2 3" xfId="30817"/>
    <cellStyle name="Heading 3 12 3" xfId="10013"/>
    <cellStyle name="Heading 3 12 4" xfId="30816"/>
    <cellStyle name="Heading 3 13" xfId="6493"/>
    <cellStyle name="Heading 3 13 2" xfId="6494"/>
    <cellStyle name="Heading 3 13 2 2" xfId="15677"/>
    <cellStyle name="Heading 3 13 2 3" xfId="30819"/>
    <cellStyle name="Heading 3 13 3" xfId="10492"/>
    <cellStyle name="Heading 3 13 4" xfId="30818"/>
    <cellStyle name="Heading 3 14" xfId="6495"/>
    <cellStyle name="Heading 3 14 2" xfId="11435"/>
    <cellStyle name="Heading 3 14 3" xfId="30820"/>
    <cellStyle name="Heading 3 15" xfId="6496"/>
    <cellStyle name="Heading 3 15 2" xfId="10010"/>
    <cellStyle name="Heading 3 15 3" xfId="30821"/>
    <cellStyle name="Heading 3 2" xfId="6497"/>
    <cellStyle name="Heading 3 2 2" xfId="6498"/>
    <cellStyle name="Heading 3 2 2 2" xfId="11694"/>
    <cellStyle name="Heading 3 2 2 3" xfId="30823"/>
    <cellStyle name="Heading 3 2 3" xfId="6499"/>
    <cellStyle name="Heading 3 2 3 2" xfId="17342"/>
    <cellStyle name="Heading 3 2 3 3" xfId="30824"/>
    <cellStyle name="Heading 3 2 4" xfId="8734"/>
    <cellStyle name="Heading 3 2 5" xfId="10014"/>
    <cellStyle name="Heading 3 2 6" xfId="30822"/>
    <cellStyle name="Heading 3 2 7" xfId="33047"/>
    <cellStyle name="Heading 3 3" xfId="6500"/>
    <cellStyle name="Heading 3 3 2" xfId="6501"/>
    <cellStyle name="Heading 3 3 2 2" xfId="10016"/>
    <cellStyle name="Heading 3 3 2 3" xfId="30826"/>
    <cellStyle name="Heading 3 3 3" xfId="6502"/>
    <cellStyle name="Heading 3 3 3 2" xfId="13220"/>
    <cellStyle name="Heading 3 3 3 3" xfId="30827"/>
    <cellStyle name="Heading 3 3 4" xfId="10015"/>
    <cellStyle name="Heading 3 3 5" xfId="30825"/>
    <cellStyle name="Heading 3 4" xfId="6503"/>
    <cellStyle name="Heading 3 4 2" xfId="6504"/>
    <cellStyle name="Heading 3 4 2 2" xfId="10018"/>
    <cellStyle name="Heading 3 4 2 3" xfId="30829"/>
    <cellStyle name="Heading 3 4 3" xfId="6505"/>
    <cellStyle name="Heading 3 4 3 2" xfId="13222"/>
    <cellStyle name="Heading 3 4 3 3" xfId="30830"/>
    <cellStyle name="Heading 3 4 4" xfId="6506"/>
    <cellStyle name="Heading 3 4 4 2" xfId="13221"/>
    <cellStyle name="Heading 3 4 4 3" xfId="30831"/>
    <cellStyle name="Heading 3 4 5" xfId="10017"/>
    <cellStyle name="Heading 3 4 6" xfId="30828"/>
    <cellStyle name="Heading 3 5" xfId="6507"/>
    <cellStyle name="Heading 3 5 2" xfId="6508"/>
    <cellStyle name="Heading 3 5 2 2" xfId="6509"/>
    <cellStyle name="Heading 3 5 2 2 2" xfId="11439"/>
    <cellStyle name="Heading 3 5 2 2 3" xfId="30834"/>
    <cellStyle name="Heading 3 5 2 3" xfId="10020"/>
    <cellStyle name="Heading 3 5 2 4" xfId="30833"/>
    <cellStyle name="Heading 3 5 3" xfId="6510"/>
    <cellStyle name="Heading 3 5 3 2" xfId="11438"/>
    <cellStyle name="Heading 3 5 3 3" xfId="30835"/>
    <cellStyle name="Heading 3 5 4" xfId="6511"/>
    <cellStyle name="Heading 3 5 4 2" xfId="13223"/>
    <cellStyle name="Heading 3 5 4 3" xfId="30836"/>
    <cellStyle name="Heading 3 5 5" xfId="6512"/>
    <cellStyle name="Heading 3 5 5 2" xfId="15678"/>
    <cellStyle name="Heading 3 5 5 3" xfId="30837"/>
    <cellStyle name="Heading 3 5 6" xfId="10019"/>
    <cellStyle name="Heading 3 5 7" xfId="30832"/>
    <cellStyle name="Heading 3 6" xfId="6513"/>
    <cellStyle name="Heading 3 6 2" xfId="6514"/>
    <cellStyle name="Heading 3 6 2 2" xfId="6515"/>
    <cellStyle name="Heading 3 6 2 2 2" xfId="11441"/>
    <cellStyle name="Heading 3 6 2 2 3" xfId="30840"/>
    <cellStyle name="Heading 3 6 2 3" xfId="10022"/>
    <cellStyle name="Heading 3 6 2 4" xfId="30839"/>
    <cellStyle name="Heading 3 6 3" xfId="6516"/>
    <cellStyle name="Heading 3 6 3 2" xfId="11440"/>
    <cellStyle name="Heading 3 6 3 3" xfId="30841"/>
    <cellStyle name="Heading 3 6 4" xfId="10021"/>
    <cellStyle name="Heading 3 6 5" xfId="30838"/>
    <cellStyle name="Heading 3 7" xfId="6517"/>
    <cellStyle name="Heading 3 7 2" xfId="6518"/>
    <cellStyle name="Heading 3 7 2 2" xfId="11442"/>
    <cellStyle name="Heading 3 7 2 3" xfId="30843"/>
    <cellStyle name="Heading 3 7 3" xfId="10023"/>
    <cellStyle name="Heading 3 7 4" xfId="30842"/>
    <cellStyle name="Heading 3 8" xfId="6519"/>
    <cellStyle name="Heading 3 8 2" xfId="6520"/>
    <cellStyle name="Heading 3 8 2 2" xfId="11443"/>
    <cellStyle name="Heading 3 8 2 3" xfId="30845"/>
    <cellStyle name="Heading 3 8 3" xfId="10024"/>
    <cellStyle name="Heading 3 8 4" xfId="30844"/>
    <cellStyle name="Heading 3 9" xfId="6521"/>
    <cellStyle name="Heading 3 9 2" xfId="6522"/>
    <cellStyle name="Heading 3 9 2 2" xfId="11444"/>
    <cellStyle name="Heading 3 9 2 3" xfId="30847"/>
    <cellStyle name="Heading 3 9 3" xfId="10025"/>
    <cellStyle name="Heading 3 9 4" xfId="30846"/>
    <cellStyle name="Heading 4" xfId="18" builtinId="19" customBuiltin="1"/>
    <cellStyle name="Heading 4 10" xfId="6523"/>
    <cellStyle name="Heading 4 10 2" xfId="6524"/>
    <cellStyle name="Heading 4 10 2 2" xfId="11446"/>
    <cellStyle name="Heading 4 10 2 3" xfId="30849"/>
    <cellStyle name="Heading 4 10 3" xfId="10027"/>
    <cellStyle name="Heading 4 10 4" xfId="30848"/>
    <cellStyle name="Heading 4 11" xfId="6525"/>
    <cellStyle name="Heading 4 11 2" xfId="6526"/>
    <cellStyle name="Heading 4 11 2 2" xfId="15679"/>
    <cellStyle name="Heading 4 11 2 3" xfId="30851"/>
    <cellStyle name="Heading 4 11 3" xfId="10028"/>
    <cellStyle name="Heading 4 11 4" xfId="30850"/>
    <cellStyle name="Heading 4 12" xfId="6527"/>
    <cellStyle name="Heading 4 12 2" xfId="6528"/>
    <cellStyle name="Heading 4 12 2 2" xfId="15680"/>
    <cellStyle name="Heading 4 12 2 3" xfId="30853"/>
    <cellStyle name="Heading 4 12 3" xfId="10493"/>
    <cellStyle name="Heading 4 12 4" xfId="30852"/>
    <cellStyle name="Heading 4 13" xfId="6529"/>
    <cellStyle name="Heading 4 13 2" xfId="11445"/>
    <cellStyle name="Heading 4 13 3" xfId="30854"/>
    <cellStyle name="Heading 4 14" xfId="6530"/>
    <cellStyle name="Heading 4 14 2" xfId="10026"/>
    <cellStyle name="Heading 4 14 3" xfId="30855"/>
    <cellStyle name="Heading 4 2" xfId="6531"/>
    <cellStyle name="Heading 4 2 2" xfId="6532"/>
    <cellStyle name="Heading 4 2 2 2" xfId="10030"/>
    <cellStyle name="Heading 4 2 2 3" xfId="30857"/>
    <cellStyle name="Heading 4 2 3" xfId="6533"/>
    <cellStyle name="Heading 4 2 3 2" xfId="13224"/>
    <cellStyle name="Heading 4 2 3 3" xfId="30858"/>
    <cellStyle name="Heading 4 2 4" xfId="10029"/>
    <cellStyle name="Heading 4 2 5" xfId="30856"/>
    <cellStyle name="Heading 4 2 6" xfId="33048"/>
    <cellStyle name="Heading 4 3" xfId="6534"/>
    <cellStyle name="Heading 4 3 2" xfId="6535"/>
    <cellStyle name="Heading 4 3 2 2" xfId="10032"/>
    <cellStyle name="Heading 4 3 2 3" xfId="30860"/>
    <cellStyle name="Heading 4 3 3" xfId="6536"/>
    <cellStyle name="Heading 4 3 3 2" xfId="13226"/>
    <cellStyle name="Heading 4 3 3 3" xfId="30861"/>
    <cellStyle name="Heading 4 3 4" xfId="6537"/>
    <cellStyle name="Heading 4 3 4 2" xfId="13225"/>
    <cellStyle name="Heading 4 3 4 3" xfId="30862"/>
    <cellStyle name="Heading 4 3 5" xfId="10031"/>
    <cellStyle name="Heading 4 3 6" xfId="30859"/>
    <cellStyle name="Heading 4 4" xfId="6538"/>
    <cellStyle name="Heading 4 4 2" xfId="6539"/>
    <cellStyle name="Heading 4 4 2 2" xfId="6540"/>
    <cellStyle name="Heading 4 4 2 2 2" xfId="11448"/>
    <cellStyle name="Heading 4 4 2 2 3" xfId="30865"/>
    <cellStyle name="Heading 4 4 2 3" xfId="10034"/>
    <cellStyle name="Heading 4 4 2 4" xfId="30864"/>
    <cellStyle name="Heading 4 4 3" xfId="6541"/>
    <cellStyle name="Heading 4 4 3 2" xfId="11447"/>
    <cellStyle name="Heading 4 4 3 3" xfId="30866"/>
    <cellStyle name="Heading 4 4 4" xfId="6542"/>
    <cellStyle name="Heading 4 4 4 2" xfId="13227"/>
    <cellStyle name="Heading 4 4 4 3" xfId="30867"/>
    <cellStyle name="Heading 4 4 5" xfId="6543"/>
    <cellStyle name="Heading 4 4 5 2" xfId="15681"/>
    <cellStyle name="Heading 4 4 5 3" xfId="30868"/>
    <cellStyle name="Heading 4 4 6" xfId="10033"/>
    <cellStyle name="Heading 4 4 7" xfId="30863"/>
    <cellStyle name="Heading 4 5" xfId="6544"/>
    <cellStyle name="Heading 4 5 2" xfId="6545"/>
    <cellStyle name="Heading 4 5 2 2" xfId="6546"/>
    <cellStyle name="Heading 4 5 2 2 2" xfId="11450"/>
    <cellStyle name="Heading 4 5 2 2 3" xfId="30871"/>
    <cellStyle name="Heading 4 5 2 3" xfId="10036"/>
    <cellStyle name="Heading 4 5 2 4" xfId="30870"/>
    <cellStyle name="Heading 4 5 3" xfId="6547"/>
    <cellStyle name="Heading 4 5 3 2" xfId="11449"/>
    <cellStyle name="Heading 4 5 3 3" xfId="30872"/>
    <cellStyle name="Heading 4 5 4" xfId="10035"/>
    <cellStyle name="Heading 4 5 5" xfId="30869"/>
    <cellStyle name="Heading 4 6" xfId="6548"/>
    <cellStyle name="Heading 4 6 2" xfId="6549"/>
    <cellStyle name="Heading 4 6 2 2" xfId="11451"/>
    <cellStyle name="Heading 4 6 2 3" xfId="30874"/>
    <cellStyle name="Heading 4 6 3" xfId="10037"/>
    <cellStyle name="Heading 4 6 4" xfId="30873"/>
    <cellStyle name="Heading 4 7" xfId="6550"/>
    <cellStyle name="Heading 4 7 2" xfId="6551"/>
    <cellStyle name="Heading 4 7 2 2" xfId="11452"/>
    <cellStyle name="Heading 4 7 2 3" xfId="30876"/>
    <cellStyle name="Heading 4 7 3" xfId="10038"/>
    <cellStyle name="Heading 4 7 4" xfId="30875"/>
    <cellStyle name="Heading 4 8" xfId="6552"/>
    <cellStyle name="Heading 4 8 2" xfId="6553"/>
    <cellStyle name="Heading 4 8 2 2" xfId="11453"/>
    <cellStyle name="Heading 4 8 2 3" xfId="30878"/>
    <cellStyle name="Heading 4 8 3" xfId="10039"/>
    <cellStyle name="Heading 4 8 4" xfId="30877"/>
    <cellStyle name="Heading 4 9" xfId="6554"/>
    <cellStyle name="Heading 4 9 2" xfId="6555"/>
    <cellStyle name="Heading 4 9 2 2" xfId="11454"/>
    <cellStyle name="Heading 4 9 2 3" xfId="30880"/>
    <cellStyle name="Heading 4 9 3" xfId="10040"/>
    <cellStyle name="Heading 4 9 4" xfId="30879"/>
    <cellStyle name="Hyperlink" xfId="7" builtinId="8"/>
    <cellStyle name="Hyperlink 2" xfId="6556"/>
    <cellStyle name="Hyperlink 2 2" xfId="8699"/>
    <cellStyle name="Hyperlink 2 3" xfId="30881"/>
    <cellStyle name="Hyperlink 2 4" xfId="33097"/>
    <cellStyle name="Hyperlink 3" xfId="6557"/>
    <cellStyle name="Hyperlink 3 2" xfId="10041"/>
    <cellStyle name="Hyperlink 3 3" xfId="30882"/>
    <cellStyle name="Input" xfId="22" builtinId="20" customBuiltin="1"/>
    <cellStyle name="Input 10" xfId="6558"/>
    <cellStyle name="Input 10 2" xfId="10043"/>
    <cellStyle name="Input 10 3" xfId="30883"/>
    <cellStyle name="Input 11" xfId="6559"/>
    <cellStyle name="Input 11 2" xfId="10044"/>
    <cellStyle name="Input 11 3" xfId="30884"/>
    <cellStyle name="Input 12" xfId="6560"/>
    <cellStyle name="Input 12 2" xfId="6561"/>
    <cellStyle name="Input 12 2 2" xfId="15682"/>
    <cellStyle name="Input 12 2 3" xfId="30886"/>
    <cellStyle name="Input 12 3" xfId="10494"/>
    <cellStyle name="Input 12 4" xfId="30885"/>
    <cellStyle name="Input 13" xfId="6562"/>
    <cellStyle name="Input 13 2" xfId="11455"/>
    <cellStyle name="Input 13 3" xfId="30887"/>
    <cellStyle name="Input 14" xfId="6563"/>
    <cellStyle name="Input 14 2" xfId="10042"/>
    <cellStyle name="Input 14 3" xfId="30888"/>
    <cellStyle name="Input 2" xfId="6564"/>
    <cellStyle name="Input 2 2" xfId="10045"/>
    <cellStyle name="Input 2 3" xfId="30889"/>
    <cellStyle name="Input 2 4" xfId="33052"/>
    <cellStyle name="Input 3" xfId="6565"/>
    <cellStyle name="Input 3 2" xfId="6566"/>
    <cellStyle name="Input 3 2 2" xfId="10047"/>
    <cellStyle name="Input 3 2 3" xfId="30891"/>
    <cellStyle name="Input 3 3" xfId="10046"/>
    <cellStyle name="Input 3 4" xfId="30890"/>
    <cellStyle name="Input 4" xfId="6567"/>
    <cellStyle name="Input 4 2" xfId="6568"/>
    <cellStyle name="Input 4 2 2" xfId="13229"/>
    <cellStyle name="Input 4 2 3" xfId="30893"/>
    <cellStyle name="Input 4 3" xfId="6569"/>
    <cellStyle name="Input 4 3 2" xfId="13228"/>
    <cellStyle name="Input 4 3 3" xfId="30894"/>
    <cellStyle name="Input 4 4" xfId="10048"/>
    <cellStyle name="Input 4 5" xfId="30892"/>
    <cellStyle name="Input 5" xfId="6570"/>
    <cellStyle name="Input 5 2" xfId="6571"/>
    <cellStyle name="Input 5 2 2" xfId="10050"/>
    <cellStyle name="Input 5 2 3" xfId="30896"/>
    <cellStyle name="Input 5 3" xfId="10049"/>
    <cellStyle name="Input 5 4" xfId="30895"/>
    <cellStyle name="Input 6" xfId="6572"/>
    <cellStyle name="Input 6 2" xfId="10051"/>
    <cellStyle name="Input 6 3" xfId="30897"/>
    <cellStyle name="Input 7" xfId="6573"/>
    <cellStyle name="Input 7 2" xfId="10052"/>
    <cellStyle name="Input 7 3" xfId="30898"/>
    <cellStyle name="Input 8" xfId="6574"/>
    <cellStyle name="Input 8 2" xfId="10053"/>
    <cellStyle name="Input 8 3" xfId="30899"/>
    <cellStyle name="Input 9" xfId="6575"/>
    <cellStyle name="Input 9 2" xfId="10054"/>
    <cellStyle name="Input 9 3" xfId="30900"/>
    <cellStyle name="Linked Cell" xfId="25" builtinId="24" customBuiltin="1"/>
    <cellStyle name="Linked Cell 10" xfId="6576"/>
    <cellStyle name="Linked Cell 10 2" xfId="6577"/>
    <cellStyle name="Linked Cell 10 2 2" xfId="11457"/>
    <cellStyle name="Linked Cell 10 2 3" xfId="30902"/>
    <cellStyle name="Linked Cell 10 3" xfId="10056"/>
    <cellStyle name="Linked Cell 10 4" xfId="30901"/>
    <cellStyle name="Linked Cell 11" xfId="6578"/>
    <cellStyle name="Linked Cell 11 2" xfId="6579"/>
    <cellStyle name="Linked Cell 11 2 2" xfId="11458"/>
    <cellStyle name="Linked Cell 11 2 3" xfId="30904"/>
    <cellStyle name="Linked Cell 11 3" xfId="10057"/>
    <cellStyle name="Linked Cell 11 4" xfId="30903"/>
    <cellStyle name="Linked Cell 12" xfId="6580"/>
    <cellStyle name="Linked Cell 12 2" xfId="6581"/>
    <cellStyle name="Linked Cell 12 2 2" xfId="15683"/>
    <cellStyle name="Linked Cell 12 2 3" xfId="30906"/>
    <cellStyle name="Linked Cell 12 3" xfId="10058"/>
    <cellStyle name="Linked Cell 12 4" xfId="30905"/>
    <cellStyle name="Linked Cell 13" xfId="6582"/>
    <cellStyle name="Linked Cell 13 2" xfId="6583"/>
    <cellStyle name="Linked Cell 13 2 2" xfId="15684"/>
    <cellStyle name="Linked Cell 13 2 3" xfId="30908"/>
    <cellStyle name="Linked Cell 13 3" xfId="10495"/>
    <cellStyle name="Linked Cell 13 4" xfId="30907"/>
    <cellStyle name="Linked Cell 14" xfId="6584"/>
    <cellStyle name="Linked Cell 14 2" xfId="11456"/>
    <cellStyle name="Linked Cell 14 3" xfId="30909"/>
    <cellStyle name="Linked Cell 15" xfId="6585"/>
    <cellStyle name="Linked Cell 15 2" xfId="10055"/>
    <cellStyle name="Linked Cell 15 3" xfId="30910"/>
    <cellStyle name="Linked Cell 2" xfId="6586"/>
    <cellStyle name="Linked Cell 2 2" xfId="6587"/>
    <cellStyle name="Linked Cell 2 2 2" xfId="10060"/>
    <cellStyle name="Linked Cell 2 2 3" xfId="30912"/>
    <cellStyle name="Linked Cell 2 3" xfId="6588"/>
    <cellStyle name="Linked Cell 2 3 2" xfId="13230"/>
    <cellStyle name="Linked Cell 2 3 3" xfId="30913"/>
    <cellStyle name="Linked Cell 2 4" xfId="10059"/>
    <cellStyle name="Linked Cell 2 5" xfId="30911"/>
    <cellStyle name="Linked Cell 2 6" xfId="33055"/>
    <cellStyle name="Linked Cell 3" xfId="6589"/>
    <cellStyle name="Linked Cell 3 2" xfId="6590"/>
    <cellStyle name="Linked Cell 3 2 2" xfId="10062"/>
    <cellStyle name="Linked Cell 3 2 3" xfId="30915"/>
    <cellStyle name="Linked Cell 3 3" xfId="6591"/>
    <cellStyle name="Linked Cell 3 3 2" xfId="13232"/>
    <cellStyle name="Linked Cell 3 3 3" xfId="30916"/>
    <cellStyle name="Linked Cell 3 4" xfId="6592"/>
    <cellStyle name="Linked Cell 3 4 2" xfId="13231"/>
    <cellStyle name="Linked Cell 3 4 3" xfId="30917"/>
    <cellStyle name="Linked Cell 3 5" xfId="10061"/>
    <cellStyle name="Linked Cell 3 6" xfId="30914"/>
    <cellStyle name="Linked Cell 4" xfId="6593"/>
    <cellStyle name="Linked Cell 4 2" xfId="6594"/>
    <cellStyle name="Linked Cell 4 2 2" xfId="6595"/>
    <cellStyle name="Linked Cell 4 2 2 2" xfId="11460"/>
    <cellStyle name="Linked Cell 4 2 2 3" xfId="30920"/>
    <cellStyle name="Linked Cell 4 2 3" xfId="10064"/>
    <cellStyle name="Linked Cell 4 2 4" xfId="30919"/>
    <cellStyle name="Linked Cell 4 3" xfId="6596"/>
    <cellStyle name="Linked Cell 4 3 2" xfId="11459"/>
    <cellStyle name="Linked Cell 4 3 3" xfId="30921"/>
    <cellStyle name="Linked Cell 4 4" xfId="6597"/>
    <cellStyle name="Linked Cell 4 4 2" xfId="13233"/>
    <cellStyle name="Linked Cell 4 4 3" xfId="30922"/>
    <cellStyle name="Linked Cell 4 5" xfId="6598"/>
    <cellStyle name="Linked Cell 4 5 2" xfId="15685"/>
    <cellStyle name="Linked Cell 4 5 3" xfId="30923"/>
    <cellStyle name="Linked Cell 4 6" xfId="10063"/>
    <cellStyle name="Linked Cell 4 7" xfId="30918"/>
    <cellStyle name="Linked Cell 5" xfId="6599"/>
    <cellStyle name="Linked Cell 5 2" xfId="6600"/>
    <cellStyle name="Linked Cell 5 2 2" xfId="6601"/>
    <cellStyle name="Linked Cell 5 2 2 2" xfId="11462"/>
    <cellStyle name="Linked Cell 5 2 2 3" xfId="30926"/>
    <cellStyle name="Linked Cell 5 2 3" xfId="10066"/>
    <cellStyle name="Linked Cell 5 2 4" xfId="30925"/>
    <cellStyle name="Linked Cell 5 3" xfId="6602"/>
    <cellStyle name="Linked Cell 5 3 2" xfId="11461"/>
    <cellStyle name="Linked Cell 5 3 3" xfId="30927"/>
    <cellStyle name="Linked Cell 5 4" xfId="10065"/>
    <cellStyle name="Linked Cell 5 5" xfId="30924"/>
    <cellStyle name="Linked Cell 6" xfId="6603"/>
    <cellStyle name="Linked Cell 6 2" xfId="10067"/>
    <cellStyle name="Linked Cell 6 3" xfId="30928"/>
    <cellStyle name="Linked Cell 7" xfId="6604"/>
    <cellStyle name="Linked Cell 7 2" xfId="6605"/>
    <cellStyle name="Linked Cell 7 2 2" xfId="11463"/>
    <cellStyle name="Linked Cell 7 2 3" xfId="30930"/>
    <cellStyle name="Linked Cell 7 3" xfId="10068"/>
    <cellStyle name="Linked Cell 7 4" xfId="30929"/>
    <cellStyle name="Linked Cell 8" xfId="6606"/>
    <cellStyle name="Linked Cell 8 2" xfId="6607"/>
    <cellStyle name="Linked Cell 8 2 2" xfId="11464"/>
    <cellStyle name="Linked Cell 8 2 3" xfId="30932"/>
    <cellStyle name="Linked Cell 8 3" xfId="10069"/>
    <cellStyle name="Linked Cell 8 4" xfId="30931"/>
    <cellStyle name="Linked Cell 9" xfId="6608"/>
    <cellStyle name="Linked Cell 9 2" xfId="6609"/>
    <cellStyle name="Linked Cell 9 2 2" xfId="11465"/>
    <cellStyle name="Linked Cell 9 2 3" xfId="30934"/>
    <cellStyle name="Linked Cell 9 3" xfId="10070"/>
    <cellStyle name="Linked Cell 9 4" xfId="30933"/>
    <cellStyle name="Neutral" xfId="21" builtinId="28" customBuiltin="1"/>
    <cellStyle name="Neutral 10" xfId="6610"/>
    <cellStyle name="Neutral 10 2" xfId="10072"/>
    <cellStyle name="Neutral 10 3" xfId="30935"/>
    <cellStyle name="Neutral 11" xfId="6611"/>
    <cellStyle name="Neutral 11 2" xfId="10073"/>
    <cellStyle name="Neutral 11 3" xfId="30936"/>
    <cellStyle name="Neutral 12" xfId="6612"/>
    <cellStyle name="Neutral 12 2" xfId="6613"/>
    <cellStyle name="Neutral 12 2 2" xfId="15686"/>
    <cellStyle name="Neutral 12 2 3" xfId="30938"/>
    <cellStyle name="Neutral 12 3" xfId="10496"/>
    <cellStyle name="Neutral 12 4" xfId="30937"/>
    <cellStyle name="Neutral 13" xfId="6614"/>
    <cellStyle name="Neutral 13 2" xfId="11466"/>
    <cellStyle name="Neutral 13 3" xfId="30939"/>
    <cellStyle name="Neutral 14" xfId="6615"/>
    <cellStyle name="Neutral 14 2" xfId="10071"/>
    <cellStyle name="Neutral 14 3" xfId="30940"/>
    <cellStyle name="Neutral 2" xfId="6616"/>
    <cellStyle name="Neutral 2 2" xfId="10074"/>
    <cellStyle name="Neutral 2 3" xfId="30941"/>
    <cellStyle name="Neutral 2 4" xfId="33051"/>
    <cellStyle name="Neutral 3" xfId="6617"/>
    <cellStyle name="Neutral 3 2" xfId="6618"/>
    <cellStyle name="Neutral 3 2 2" xfId="10076"/>
    <cellStyle name="Neutral 3 2 3" xfId="30943"/>
    <cellStyle name="Neutral 3 3" xfId="10075"/>
    <cellStyle name="Neutral 3 4" xfId="30942"/>
    <cellStyle name="Neutral 3 5" xfId="33103"/>
    <cellStyle name="Neutral 4" xfId="6619"/>
    <cellStyle name="Neutral 4 2" xfId="6620"/>
    <cellStyle name="Neutral 4 2 2" xfId="13235"/>
    <cellStyle name="Neutral 4 2 3" xfId="30945"/>
    <cellStyle name="Neutral 4 3" xfId="6621"/>
    <cellStyle name="Neutral 4 3 2" xfId="13234"/>
    <cellStyle name="Neutral 4 3 3" xfId="30946"/>
    <cellStyle name="Neutral 4 4" xfId="10077"/>
    <cellStyle name="Neutral 4 5" xfId="30944"/>
    <cellStyle name="Neutral 5" xfId="6622"/>
    <cellStyle name="Neutral 5 2" xfId="6623"/>
    <cellStyle name="Neutral 5 2 2" xfId="10079"/>
    <cellStyle name="Neutral 5 2 3" xfId="30948"/>
    <cellStyle name="Neutral 5 3" xfId="10078"/>
    <cellStyle name="Neutral 5 4" xfId="30947"/>
    <cellStyle name="Neutral 6" xfId="6624"/>
    <cellStyle name="Neutral 6 2" xfId="10080"/>
    <cellStyle name="Neutral 6 3" xfId="30949"/>
    <cellStyle name="Neutral 7" xfId="6625"/>
    <cellStyle name="Neutral 7 2" xfId="10081"/>
    <cellStyle name="Neutral 7 3" xfId="30950"/>
    <cellStyle name="Neutral 8" xfId="6626"/>
    <cellStyle name="Neutral 8 2" xfId="10082"/>
    <cellStyle name="Neutral 8 3" xfId="30951"/>
    <cellStyle name="Neutral 9" xfId="6627"/>
    <cellStyle name="Neutral 9 2" xfId="10083"/>
    <cellStyle name="Neutral 9 3" xfId="30952"/>
    <cellStyle name="Normal" xfId="0" builtinId="0"/>
    <cellStyle name="Normal 10" xfId="6628"/>
    <cellStyle name="Normal 10 2" xfId="6629"/>
    <cellStyle name="Normal 10 2 2" xfId="6630"/>
    <cellStyle name="Normal 10 2 2 2" xfId="11693"/>
    <cellStyle name="Normal 10 2 2 2 2" xfId="25429"/>
    <cellStyle name="Normal 10 2 2 3" xfId="30953"/>
    <cellStyle name="Normal 10 2 3" xfId="6631"/>
    <cellStyle name="Normal 10 2 3 2" xfId="17343"/>
    <cellStyle name="Normal 10 2 3 3" xfId="30954"/>
    <cellStyle name="Normal 10 2 4" xfId="8730"/>
    <cellStyle name="Normal 10 2 5" xfId="10085"/>
    <cellStyle name="Normal 10 3" xfId="6632"/>
    <cellStyle name="Normal 10 3 2" xfId="6633"/>
    <cellStyle name="Normal 10 3 2 2" xfId="13237"/>
    <cellStyle name="Normal 10 3 2 2 2" xfId="26882"/>
    <cellStyle name="Normal 10 3 2 3" xfId="30956"/>
    <cellStyle name="Normal 10 3 3" xfId="6634"/>
    <cellStyle name="Normal 10 3 3 2" xfId="15688"/>
    <cellStyle name="Normal 10 3 3 2 2" xfId="29174"/>
    <cellStyle name="Normal 10 3 3 3" xfId="30957"/>
    <cellStyle name="Normal 10 3 4" xfId="11467"/>
    <cellStyle name="Normal 10 3 4 2" xfId="25299"/>
    <cellStyle name="Normal 10 3 5" xfId="30955"/>
    <cellStyle name="Normal 10 3 6" xfId="32946"/>
    <cellStyle name="Normal 10 3 7" xfId="33004"/>
    <cellStyle name="Normal 10 4" xfId="6635"/>
    <cellStyle name="Normal 10 4 2" xfId="13236"/>
    <cellStyle name="Normal 10 4 2 2" xfId="26881"/>
    <cellStyle name="Normal 10 4 3" xfId="30958"/>
    <cellStyle name="Normal 10 5" xfId="6636"/>
    <cellStyle name="Normal 10 5 2" xfId="15687"/>
    <cellStyle name="Normal 10 5 2 2" xfId="29173"/>
    <cellStyle name="Normal 10 5 3" xfId="30959"/>
    <cellStyle name="Normal 10 6" xfId="6637"/>
    <cellStyle name="Normal 10 6 2" xfId="15803"/>
    <cellStyle name="Normal 10 6 2 2" xfId="29210"/>
    <cellStyle name="Normal 10 6 3" xfId="30960"/>
    <cellStyle name="Normal 10 7" xfId="8720"/>
    <cellStyle name="Normal 10 7 2" xfId="10084"/>
    <cellStyle name="Normal 10 7 2 2" xfId="24316"/>
    <cellStyle name="Normal 10 8" xfId="8721"/>
    <cellStyle name="Normal 10 8 2" xfId="17329"/>
    <cellStyle name="Normal 10 8 3" xfId="23236"/>
    <cellStyle name="Normal 11" xfId="6638"/>
    <cellStyle name="Normal 11 2" xfId="10086"/>
    <cellStyle name="Normal 11 3" xfId="30961"/>
    <cellStyle name="Normal 11 4" xfId="32917"/>
    <cellStyle name="Normal 11 5" xfId="32977"/>
    <cellStyle name="Normal 12" xfId="6639"/>
    <cellStyle name="Normal 12 2" xfId="10087"/>
    <cellStyle name="Normal 12 3" xfId="30962"/>
    <cellStyle name="Normal 12 4" xfId="32943"/>
    <cellStyle name="Normal 13" xfId="6640"/>
    <cellStyle name="Normal 13 10" xfId="6641"/>
    <cellStyle name="Normal 13 10 2" xfId="6642"/>
    <cellStyle name="Normal 13 10 2 2" xfId="13238"/>
    <cellStyle name="Normal 13 10 2 2 2" xfId="26883"/>
    <cellStyle name="Normal 13 10 2 3" xfId="30964"/>
    <cellStyle name="Normal 13 10 3" xfId="6643"/>
    <cellStyle name="Normal 13 10 3 2" xfId="15689"/>
    <cellStyle name="Normal 13 10 3 2 2" xfId="29175"/>
    <cellStyle name="Normal 13 10 3 3" xfId="30965"/>
    <cellStyle name="Normal 13 10 4" xfId="6644"/>
    <cellStyle name="Normal 13 10 4 2" xfId="17110"/>
    <cellStyle name="Normal 13 10 4 2 2" xfId="30469"/>
    <cellStyle name="Normal 13 10 4 3" xfId="30966"/>
    <cellStyle name="Normal 13 10 5" xfId="10521"/>
    <cellStyle name="Normal 13 10 5 2" xfId="24467"/>
    <cellStyle name="Normal 13 10 6" xfId="30963"/>
    <cellStyle name="Normal 13 11" xfId="6645"/>
    <cellStyle name="Normal 13 11 2" xfId="6646"/>
    <cellStyle name="Normal 13 11 2 2" xfId="13239"/>
    <cellStyle name="Normal 13 11 2 2 2" xfId="26884"/>
    <cellStyle name="Normal 13 11 2 3" xfId="30968"/>
    <cellStyle name="Normal 13 11 3" xfId="6647"/>
    <cellStyle name="Normal 13 11 3 2" xfId="15690"/>
    <cellStyle name="Normal 13 11 3 2 2" xfId="29176"/>
    <cellStyle name="Normal 13 11 3 3" xfId="30969"/>
    <cellStyle name="Normal 13 11 4" xfId="6648"/>
    <cellStyle name="Normal 13 11 4 2" xfId="17199"/>
    <cellStyle name="Normal 13 11 4 2 2" xfId="30558"/>
    <cellStyle name="Normal 13 11 4 3" xfId="30970"/>
    <cellStyle name="Normal 13 11 5" xfId="11468"/>
    <cellStyle name="Normal 13 11 5 2" xfId="25300"/>
    <cellStyle name="Normal 13 11 6" xfId="30967"/>
    <cellStyle name="Normal 13 12" xfId="6649"/>
    <cellStyle name="Normal 13 12 2" xfId="6650"/>
    <cellStyle name="Normal 13 12 2 2" xfId="17288"/>
    <cellStyle name="Normal 13 12 2 2 2" xfId="30647"/>
    <cellStyle name="Normal 13 12 2 3" xfId="30972"/>
    <cellStyle name="Normal 13 12 3" xfId="11777"/>
    <cellStyle name="Normal 13 12 3 2" xfId="25492"/>
    <cellStyle name="Normal 13 12 4" xfId="30971"/>
    <cellStyle name="Normal 13 13" xfId="6651"/>
    <cellStyle name="Normal 13 13 2" xfId="6652"/>
    <cellStyle name="Normal 13 13 2 2" xfId="16440"/>
    <cellStyle name="Normal 13 13 2 2 2" xfId="29847"/>
    <cellStyle name="Normal 13 13 2 3" xfId="30974"/>
    <cellStyle name="Normal 13 13 3" xfId="13392"/>
    <cellStyle name="Normal 13 13 3 2" xfId="26941"/>
    <cellStyle name="Normal 13 13 4" xfId="30973"/>
    <cellStyle name="Normal 13 14" xfId="6653"/>
    <cellStyle name="Normal 13 14 2" xfId="13973"/>
    <cellStyle name="Normal 13 14 2 2" xfId="27522"/>
    <cellStyle name="Normal 13 14 3" xfId="30975"/>
    <cellStyle name="Normal 13 15" xfId="6654"/>
    <cellStyle name="Normal 13 15 2" xfId="15842"/>
    <cellStyle name="Normal 13 15 2 2" xfId="29249"/>
    <cellStyle name="Normal 13 15 3" xfId="30976"/>
    <cellStyle name="Normal 13 16" xfId="6655"/>
    <cellStyle name="Normal 13 16 2" xfId="15859"/>
    <cellStyle name="Normal 13 16 2 2" xfId="29266"/>
    <cellStyle name="Normal 13 16 3" xfId="30977"/>
    <cellStyle name="Normal 13 17" xfId="17375"/>
    <cellStyle name="Normal 13 18" xfId="10088"/>
    <cellStyle name="Normal 13 18 2" xfId="24317"/>
    <cellStyle name="Normal 13 2" xfId="6656"/>
    <cellStyle name="Normal 13 2 10" xfId="6657"/>
    <cellStyle name="Normal 13 2 10 2" xfId="15916"/>
    <cellStyle name="Normal 13 2 10 2 2" xfId="29323"/>
    <cellStyle name="Normal 13 2 10 3" xfId="30979"/>
    <cellStyle name="Normal 13 2 11" xfId="10089"/>
    <cellStyle name="Normal 13 2 11 2" xfId="24318"/>
    <cellStyle name="Normal 13 2 12" xfId="30978"/>
    <cellStyle name="Normal 13 2 2" xfId="6658"/>
    <cellStyle name="Normal 13 2 2 10" xfId="30980"/>
    <cellStyle name="Normal 13 2 2 2" xfId="6659"/>
    <cellStyle name="Normal 13 2 2 2 2" xfId="6660"/>
    <cellStyle name="Normal 13 2 2 2 2 2" xfId="6661"/>
    <cellStyle name="Normal 13 2 2 2 2 2 2" xfId="6662"/>
    <cellStyle name="Normal 13 2 2 2 2 2 2 2" xfId="16975"/>
    <cellStyle name="Normal 13 2 2 2 2 2 2 2 2" xfId="30382"/>
    <cellStyle name="Normal 13 2 2 2 2 2 2 3" xfId="30984"/>
    <cellStyle name="Normal 13 2 2 2 2 2 3" xfId="11472"/>
    <cellStyle name="Normal 13 2 2 2 2 2 3 2" xfId="25304"/>
    <cellStyle name="Normal 13 2 2 2 2 2 4" xfId="30983"/>
    <cellStyle name="Normal 13 2 2 2 2 3" xfId="6663"/>
    <cellStyle name="Normal 13 2 2 2 2 3 2" xfId="12363"/>
    <cellStyle name="Normal 13 2 2 2 2 3 2 2" xfId="26075"/>
    <cellStyle name="Normal 13 2 2 2 2 3 3" xfId="30985"/>
    <cellStyle name="Normal 13 2 2 2 2 4" xfId="6664"/>
    <cellStyle name="Normal 13 2 2 2 2 4 2" xfId="13927"/>
    <cellStyle name="Normal 13 2 2 2 2 4 2 2" xfId="27476"/>
    <cellStyle name="Normal 13 2 2 2 2 4 3" xfId="30986"/>
    <cellStyle name="Normal 13 2 2 2 2 5" xfId="6665"/>
    <cellStyle name="Normal 13 2 2 2 2 5 2" xfId="14508"/>
    <cellStyle name="Normal 13 2 2 2 2 5 2 2" xfId="28057"/>
    <cellStyle name="Normal 13 2 2 2 2 5 3" xfId="30987"/>
    <cellStyle name="Normal 13 2 2 2 2 6" xfId="6666"/>
    <cellStyle name="Normal 13 2 2 2 2 6 2" xfId="16394"/>
    <cellStyle name="Normal 13 2 2 2 2 6 2 2" xfId="29801"/>
    <cellStyle name="Normal 13 2 2 2 2 6 3" xfId="30988"/>
    <cellStyle name="Normal 13 2 2 2 2 7" xfId="10092"/>
    <cellStyle name="Normal 13 2 2 2 2 7 2" xfId="24321"/>
    <cellStyle name="Normal 13 2 2 2 2 8" xfId="30982"/>
    <cellStyle name="Normal 13 2 2 2 3" xfId="6667"/>
    <cellStyle name="Normal 13 2 2 2 3 2" xfId="6668"/>
    <cellStyle name="Normal 13 2 2 2 3 2 2" xfId="16686"/>
    <cellStyle name="Normal 13 2 2 2 3 2 2 2" xfId="30093"/>
    <cellStyle name="Normal 13 2 2 2 3 2 3" xfId="30990"/>
    <cellStyle name="Normal 13 2 2 2 3 3" xfId="11471"/>
    <cellStyle name="Normal 13 2 2 2 3 3 2" xfId="25303"/>
    <cellStyle name="Normal 13 2 2 2 3 4" xfId="30989"/>
    <cellStyle name="Normal 13 2 2 2 4" xfId="6669"/>
    <cellStyle name="Normal 13 2 2 2 4 2" xfId="12063"/>
    <cellStyle name="Normal 13 2 2 2 4 2 2" xfId="25778"/>
    <cellStyle name="Normal 13 2 2 2 4 3" xfId="30991"/>
    <cellStyle name="Normal 13 2 2 2 5" xfId="6670"/>
    <cellStyle name="Normal 13 2 2 2 5 2" xfId="13638"/>
    <cellStyle name="Normal 13 2 2 2 5 2 2" xfId="27187"/>
    <cellStyle name="Normal 13 2 2 2 5 3" xfId="30992"/>
    <cellStyle name="Normal 13 2 2 2 6" xfId="6671"/>
    <cellStyle name="Normal 13 2 2 2 6 2" xfId="14219"/>
    <cellStyle name="Normal 13 2 2 2 6 2 2" xfId="27768"/>
    <cellStyle name="Normal 13 2 2 2 6 3" xfId="30993"/>
    <cellStyle name="Normal 13 2 2 2 7" xfId="6672"/>
    <cellStyle name="Normal 13 2 2 2 7 2" xfId="16105"/>
    <cellStyle name="Normal 13 2 2 2 7 2 2" xfId="29512"/>
    <cellStyle name="Normal 13 2 2 2 7 3" xfId="30994"/>
    <cellStyle name="Normal 13 2 2 2 8" xfId="10091"/>
    <cellStyle name="Normal 13 2 2 2 8 2" xfId="24320"/>
    <cellStyle name="Normal 13 2 2 2 9" xfId="30981"/>
    <cellStyle name="Normal 13 2 2 3" xfId="6673"/>
    <cellStyle name="Normal 13 2 2 3 2" xfId="6674"/>
    <cellStyle name="Normal 13 2 2 3 2 2" xfId="6675"/>
    <cellStyle name="Normal 13 2 2 3 2 2 2" xfId="16832"/>
    <cellStyle name="Normal 13 2 2 3 2 2 2 2" xfId="30239"/>
    <cellStyle name="Normal 13 2 2 3 2 2 3" xfId="30997"/>
    <cellStyle name="Normal 13 2 2 3 2 3" xfId="11473"/>
    <cellStyle name="Normal 13 2 2 3 2 3 2" xfId="25305"/>
    <cellStyle name="Normal 13 2 2 3 2 4" xfId="30996"/>
    <cellStyle name="Normal 13 2 2 3 3" xfId="6676"/>
    <cellStyle name="Normal 13 2 2 3 3 2" xfId="12220"/>
    <cellStyle name="Normal 13 2 2 3 3 2 2" xfId="25932"/>
    <cellStyle name="Normal 13 2 2 3 3 3" xfId="30998"/>
    <cellStyle name="Normal 13 2 2 3 4" xfId="6677"/>
    <cellStyle name="Normal 13 2 2 3 4 2" xfId="13784"/>
    <cellStyle name="Normal 13 2 2 3 4 2 2" xfId="27333"/>
    <cellStyle name="Normal 13 2 2 3 4 3" xfId="30999"/>
    <cellStyle name="Normal 13 2 2 3 5" xfId="6678"/>
    <cellStyle name="Normal 13 2 2 3 5 2" xfId="14365"/>
    <cellStyle name="Normal 13 2 2 3 5 2 2" xfId="27914"/>
    <cellStyle name="Normal 13 2 2 3 5 3" xfId="31000"/>
    <cellStyle name="Normal 13 2 2 3 6" xfId="6679"/>
    <cellStyle name="Normal 13 2 2 3 6 2" xfId="16251"/>
    <cellStyle name="Normal 13 2 2 3 6 2 2" xfId="29658"/>
    <cellStyle name="Normal 13 2 2 3 6 3" xfId="31001"/>
    <cellStyle name="Normal 13 2 2 3 7" xfId="10093"/>
    <cellStyle name="Normal 13 2 2 3 7 2" xfId="24322"/>
    <cellStyle name="Normal 13 2 2 3 8" xfId="30995"/>
    <cellStyle name="Normal 13 2 2 4" xfId="6680"/>
    <cellStyle name="Normal 13 2 2 4 2" xfId="6681"/>
    <cellStyle name="Normal 13 2 2 4 2 2" xfId="17179"/>
    <cellStyle name="Normal 13 2 2 4 2 2 2" xfId="30538"/>
    <cellStyle name="Normal 13 2 2 4 2 3" xfId="31003"/>
    <cellStyle name="Normal 13 2 2 4 3" xfId="11470"/>
    <cellStyle name="Normal 13 2 2 4 3 2" xfId="25302"/>
    <cellStyle name="Normal 13 2 2 4 4" xfId="31002"/>
    <cellStyle name="Normal 13 2 2 5" xfId="6682"/>
    <cellStyle name="Normal 13 2 2 5 2" xfId="6683"/>
    <cellStyle name="Normal 13 2 2 5 2 2" xfId="17268"/>
    <cellStyle name="Normal 13 2 2 5 2 2 2" xfId="30627"/>
    <cellStyle name="Normal 13 2 2 5 2 3" xfId="31005"/>
    <cellStyle name="Normal 13 2 2 5 3" xfId="11918"/>
    <cellStyle name="Normal 13 2 2 5 3 2" xfId="25633"/>
    <cellStyle name="Normal 13 2 2 5 4" xfId="31004"/>
    <cellStyle name="Normal 13 2 2 6" xfId="6684"/>
    <cellStyle name="Normal 13 2 2 6 2" xfId="6685"/>
    <cellStyle name="Normal 13 2 2 6 2 2" xfId="16543"/>
    <cellStyle name="Normal 13 2 2 6 2 2 2" xfId="29950"/>
    <cellStyle name="Normal 13 2 2 6 2 3" xfId="31007"/>
    <cellStyle name="Normal 13 2 2 6 3" xfId="13495"/>
    <cellStyle name="Normal 13 2 2 6 3 2" xfId="27044"/>
    <cellStyle name="Normal 13 2 2 6 4" xfId="31006"/>
    <cellStyle name="Normal 13 2 2 7" xfId="6686"/>
    <cellStyle name="Normal 13 2 2 7 2" xfId="14076"/>
    <cellStyle name="Normal 13 2 2 7 2 2" xfId="27625"/>
    <cellStyle name="Normal 13 2 2 7 3" xfId="31008"/>
    <cellStyle name="Normal 13 2 2 8" xfId="6687"/>
    <cellStyle name="Normal 13 2 2 8 2" xfId="15962"/>
    <cellStyle name="Normal 13 2 2 8 2 2" xfId="29369"/>
    <cellStyle name="Normal 13 2 2 8 3" xfId="31009"/>
    <cellStyle name="Normal 13 2 2 9" xfId="10090"/>
    <cellStyle name="Normal 13 2 2 9 2" xfId="24319"/>
    <cellStyle name="Normal 13 2 3" xfId="6688"/>
    <cellStyle name="Normal 13 2 3 2" xfId="6689"/>
    <cellStyle name="Normal 13 2 3 2 2" xfId="6690"/>
    <cellStyle name="Normal 13 2 3 2 2 2" xfId="6691"/>
    <cellStyle name="Normal 13 2 3 2 2 2 2" xfId="16929"/>
    <cellStyle name="Normal 13 2 3 2 2 2 2 2" xfId="30336"/>
    <cellStyle name="Normal 13 2 3 2 2 2 3" xfId="31013"/>
    <cellStyle name="Normal 13 2 3 2 2 3" xfId="11475"/>
    <cellStyle name="Normal 13 2 3 2 2 3 2" xfId="25307"/>
    <cellStyle name="Normal 13 2 3 2 2 4" xfId="31012"/>
    <cellStyle name="Normal 13 2 3 2 3" xfId="6692"/>
    <cellStyle name="Normal 13 2 3 2 3 2" xfId="12317"/>
    <cellStyle name="Normal 13 2 3 2 3 2 2" xfId="26029"/>
    <cellStyle name="Normal 13 2 3 2 3 3" xfId="31014"/>
    <cellStyle name="Normal 13 2 3 2 4" xfId="6693"/>
    <cellStyle name="Normal 13 2 3 2 4 2" xfId="13881"/>
    <cellStyle name="Normal 13 2 3 2 4 2 2" xfId="27430"/>
    <cellStyle name="Normal 13 2 3 2 4 3" xfId="31015"/>
    <cellStyle name="Normal 13 2 3 2 5" xfId="6694"/>
    <cellStyle name="Normal 13 2 3 2 5 2" xfId="14462"/>
    <cellStyle name="Normal 13 2 3 2 5 2 2" xfId="28011"/>
    <cellStyle name="Normal 13 2 3 2 5 3" xfId="31016"/>
    <cellStyle name="Normal 13 2 3 2 6" xfId="6695"/>
    <cellStyle name="Normal 13 2 3 2 6 2" xfId="16348"/>
    <cellStyle name="Normal 13 2 3 2 6 2 2" xfId="29755"/>
    <cellStyle name="Normal 13 2 3 2 6 3" xfId="31017"/>
    <cellStyle name="Normal 13 2 3 2 7" xfId="10095"/>
    <cellStyle name="Normal 13 2 3 2 7 2" xfId="24324"/>
    <cellStyle name="Normal 13 2 3 2 8" xfId="31011"/>
    <cellStyle name="Normal 13 2 3 3" xfId="6696"/>
    <cellStyle name="Normal 13 2 3 3 2" xfId="6697"/>
    <cellStyle name="Normal 13 2 3 3 2 2" xfId="16640"/>
    <cellStyle name="Normal 13 2 3 3 2 2 2" xfId="30047"/>
    <cellStyle name="Normal 13 2 3 3 2 3" xfId="31019"/>
    <cellStyle name="Normal 13 2 3 3 3" xfId="11474"/>
    <cellStyle name="Normal 13 2 3 3 3 2" xfId="25306"/>
    <cellStyle name="Normal 13 2 3 3 4" xfId="31018"/>
    <cellStyle name="Normal 13 2 3 4" xfId="6698"/>
    <cellStyle name="Normal 13 2 3 4 2" xfId="12017"/>
    <cellStyle name="Normal 13 2 3 4 2 2" xfId="25732"/>
    <cellStyle name="Normal 13 2 3 4 3" xfId="31020"/>
    <cellStyle name="Normal 13 2 3 5" xfId="6699"/>
    <cellStyle name="Normal 13 2 3 5 2" xfId="13592"/>
    <cellStyle name="Normal 13 2 3 5 2 2" xfId="27141"/>
    <cellStyle name="Normal 13 2 3 5 3" xfId="31021"/>
    <cellStyle name="Normal 13 2 3 6" xfId="6700"/>
    <cellStyle name="Normal 13 2 3 6 2" xfId="14173"/>
    <cellStyle name="Normal 13 2 3 6 2 2" xfId="27722"/>
    <cellStyle name="Normal 13 2 3 6 3" xfId="31022"/>
    <cellStyle name="Normal 13 2 3 7" xfId="6701"/>
    <cellStyle name="Normal 13 2 3 7 2" xfId="16059"/>
    <cellStyle name="Normal 13 2 3 7 2 2" xfId="29466"/>
    <cellStyle name="Normal 13 2 3 7 3" xfId="31023"/>
    <cellStyle name="Normal 13 2 3 8" xfId="10094"/>
    <cellStyle name="Normal 13 2 3 8 2" xfId="24323"/>
    <cellStyle name="Normal 13 2 3 9" xfId="31010"/>
    <cellStyle name="Normal 13 2 4" xfId="6702"/>
    <cellStyle name="Normal 13 2 4 2" xfId="6703"/>
    <cellStyle name="Normal 13 2 4 2 2" xfId="6704"/>
    <cellStyle name="Normal 13 2 4 2 2 2" xfId="16786"/>
    <cellStyle name="Normal 13 2 4 2 2 2 2" xfId="30193"/>
    <cellStyle name="Normal 13 2 4 2 2 3" xfId="31026"/>
    <cellStyle name="Normal 13 2 4 2 3" xfId="11476"/>
    <cellStyle name="Normal 13 2 4 2 3 2" xfId="25308"/>
    <cellStyle name="Normal 13 2 4 2 4" xfId="31025"/>
    <cellStyle name="Normal 13 2 4 3" xfId="6705"/>
    <cellStyle name="Normal 13 2 4 3 2" xfId="12174"/>
    <cellStyle name="Normal 13 2 4 3 2 2" xfId="25886"/>
    <cellStyle name="Normal 13 2 4 3 3" xfId="31027"/>
    <cellStyle name="Normal 13 2 4 4" xfId="6706"/>
    <cellStyle name="Normal 13 2 4 4 2" xfId="13738"/>
    <cellStyle name="Normal 13 2 4 4 2 2" xfId="27287"/>
    <cellStyle name="Normal 13 2 4 4 3" xfId="31028"/>
    <cellStyle name="Normal 13 2 4 5" xfId="6707"/>
    <cellStyle name="Normal 13 2 4 5 2" xfId="14319"/>
    <cellStyle name="Normal 13 2 4 5 2 2" xfId="27868"/>
    <cellStyle name="Normal 13 2 4 5 3" xfId="31029"/>
    <cellStyle name="Normal 13 2 4 6" xfId="6708"/>
    <cellStyle name="Normal 13 2 4 6 2" xfId="16205"/>
    <cellStyle name="Normal 13 2 4 6 2 2" xfId="29612"/>
    <cellStyle name="Normal 13 2 4 6 3" xfId="31030"/>
    <cellStyle name="Normal 13 2 4 7" xfId="10096"/>
    <cellStyle name="Normal 13 2 4 7 2" xfId="24325"/>
    <cellStyle name="Normal 13 2 4 8" xfId="31024"/>
    <cellStyle name="Normal 13 2 5" xfId="6709"/>
    <cellStyle name="Normal 13 2 5 2" xfId="6710"/>
    <cellStyle name="Normal 13 2 5 2 2" xfId="13240"/>
    <cellStyle name="Normal 13 2 5 2 2 2" xfId="26885"/>
    <cellStyle name="Normal 13 2 5 2 3" xfId="31032"/>
    <cellStyle name="Normal 13 2 5 3" xfId="6711"/>
    <cellStyle name="Normal 13 2 5 3 2" xfId="15691"/>
    <cellStyle name="Normal 13 2 5 3 2 2" xfId="29177"/>
    <cellStyle name="Normal 13 2 5 3 3" xfId="31033"/>
    <cellStyle name="Normal 13 2 5 4" xfId="6712"/>
    <cellStyle name="Normal 13 2 5 4 2" xfId="17037"/>
    <cellStyle name="Normal 13 2 5 4 2 2" xfId="30440"/>
    <cellStyle name="Normal 13 2 5 4 3" xfId="31034"/>
    <cellStyle name="Normal 13 2 5 5" xfId="10542"/>
    <cellStyle name="Normal 13 2 5 5 2" xfId="24484"/>
    <cellStyle name="Normal 13 2 5 6" xfId="31031"/>
    <cellStyle name="Normal 13 2 6" xfId="6713"/>
    <cellStyle name="Normal 13 2 6 2" xfId="6714"/>
    <cellStyle name="Normal 13 2 6 2 2" xfId="13241"/>
    <cellStyle name="Normal 13 2 6 2 2 2" xfId="26886"/>
    <cellStyle name="Normal 13 2 6 2 3" xfId="31036"/>
    <cellStyle name="Normal 13 2 6 3" xfId="6715"/>
    <cellStyle name="Normal 13 2 6 3 2" xfId="15692"/>
    <cellStyle name="Normal 13 2 6 3 2 2" xfId="29178"/>
    <cellStyle name="Normal 13 2 6 3 3" xfId="31037"/>
    <cellStyle name="Normal 13 2 6 4" xfId="6716"/>
    <cellStyle name="Normal 13 2 6 4 2" xfId="17133"/>
    <cellStyle name="Normal 13 2 6 4 2 2" xfId="30492"/>
    <cellStyle name="Normal 13 2 6 4 3" xfId="31038"/>
    <cellStyle name="Normal 13 2 6 5" xfId="11469"/>
    <cellStyle name="Normal 13 2 6 5 2" xfId="25301"/>
    <cellStyle name="Normal 13 2 6 6" xfId="31035"/>
    <cellStyle name="Normal 13 2 7" xfId="6717"/>
    <cellStyle name="Normal 13 2 7 2" xfId="6718"/>
    <cellStyle name="Normal 13 2 7 2 2" xfId="17222"/>
    <cellStyle name="Normal 13 2 7 2 2 2" xfId="30581"/>
    <cellStyle name="Normal 13 2 7 2 3" xfId="31040"/>
    <cellStyle name="Normal 13 2 7 3" xfId="11859"/>
    <cellStyle name="Normal 13 2 7 3 2" xfId="25574"/>
    <cellStyle name="Normal 13 2 7 4" xfId="31039"/>
    <cellStyle name="Normal 13 2 8" xfId="6719"/>
    <cellStyle name="Normal 13 2 8 2" xfId="6720"/>
    <cellStyle name="Normal 13 2 8 2 2" xfId="16497"/>
    <cellStyle name="Normal 13 2 8 2 2 2" xfId="29904"/>
    <cellStyle name="Normal 13 2 8 2 3" xfId="31042"/>
    <cellStyle name="Normal 13 2 8 3" xfId="13449"/>
    <cellStyle name="Normal 13 2 8 3 2" xfId="26998"/>
    <cellStyle name="Normal 13 2 8 4" xfId="31041"/>
    <cellStyle name="Normal 13 2 9" xfId="6721"/>
    <cellStyle name="Normal 13 2 9 2" xfId="14030"/>
    <cellStyle name="Normal 13 2 9 2 2" xfId="27579"/>
    <cellStyle name="Normal 13 2 9 3" xfId="31043"/>
    <cellStyle name="Normal 13 3" xfId="6722"/>
    <cellStyle name="Normal 13 3 10" xfId="31044"/>
    <cellStyle name="Normal 13 3 2" xfId="6723"/>
    <cellStyle name="Normal 13 3 2 2" xfId="6724"/>
    <cellStyle name="Normal 13 3 2 2 2" xfId="6725"/>
    <cellStyle name="Normal 13 3 2 2 2 2" xfId="6726"/>
    <cellStyle name="Normal 13 3 2 2 2 2 2" xfId="16952"/>
    <cellStyle name="Normal 13 3 2 2 2 2 2 2" xfId="30359"/>
    <cellStyle name="Normal 13 3 2 2 2 2 3" xfId="31048"/>
    <cellStyle name="Normal 13 3 2 2 2 3" xfId="11479"/>
    <cellStyle name="Normal 13 3 2 2 2 3 2" xfId="25311"/>
    <cellStyle name="Normal 13 3 2 2 2 4" xfId="31047"/>
    <cellStyle name="Normal 13 3 2 2 3" xfId="6727"/>
    <cellStyle name="Normal 13 3 2 2 3 2" xfId="12340"/>
    <cellStyle name="Normal 13 3 2 2 3 2 2" xfId="26052"/>
    <cellStyle name="Normal 13 3 2 2 3 3" xfId="31049"/>
    <cellStyle name="Normal 13 3 2 2 4" xfId="6728"/>
    <cellStyle name="Normal 13 3 2 2 4 2" xfId="13904"/>
    <cellStyle name="Normal 13 3 2 2 4 2 2" xfId="27453"/>
    <cellStyle name="Normal 13 3 2 2 4 3" xfId="31050"/>
    <cellStyle name="Normal 13 3 2 2 5" xfId="6729"/>
    <cellStyle name="Normal 13 3 2 2 5 2" xfId="14485"/>
    <cellStyle name="Normal 13 3 2 2 5 2 2" xfId="28034"/>
    <cellStyle name="Normal 13 3 2 2 5 3" xfId="31051"/>
    <cellStyle name="Normal 13 3 2 2 6" xfId="6730"/>
    <cellStyle name="Normal 13 3 2 2 6 2" xfId="16371"/>
    <cellStyle name="Normal 13 3 2 2 6 2 2" xfId="29778"/>
    <cellStyle name="Normal 13 3 2 2 6 3" xfId="31052"/>
    <cellStyle name="Normal 13 3 2 2 7" xfId="10099"/>
    <cellStyle name="Normal 13 3 2 2 7 2" xfId="24328"/>
    <cellStyle name="Normal 13 3 2 2 8" xfId="31046"/>
    <cellStyle name="Normal 13 3 2 3" xfId="6731"/>
    <cellStyle name="Normal 13 3 2 3 2" xfId="6732"/>
    <cellStyle name="Normal 13 3 2 3 2 2" xfId="16663"/>
    <cellStyle name="Normal 13 3 2 3 2 2 2" xfId="30070"/>
    <cellStyle name="Normal 13 3 2 3 2 3" xfId="31054"/>
    <cellStyle name="Normal 13 3 2 3 3" xfId="11478"/>
    <cellStyle name="Normal 13 3 2 3 3 2" xfId="25310"/>
    <cellStyle name="Normal 13 3 2 3 4" xfId="31053"/>
    <cellStyle name="Normal 13 3 2 4" xfId="6733"/>
    <cellStyle name="Normal 13 3 2 4 2" xfId="12040"/>
    <cellStyle name="Normal 13 3 2 4 2 2" xfId="25755"/>
    <cellStyle name="Normal 13 3 2 4 3" xfId="31055"/>
    <cellStyle name="Normal 13 3 2 5" xfId="6734"/>
    <cellStyle name="Normal 13 3 2 5 2" xfId="13615"/>
    <cellStyle name="Normal 13 3 2 5 2 2" xfId="27164"/>
    <cellStyle name="Normal 13 3 2 5 3" xfId="31056"/>
    <cellStyle name="Normal 13 3 2 6" xfId="6735"/>
    <cellStyle name="Normal 13 3 2 6 2" xfId="14196"/>
    <cellStyle name="Normal 13 3 2 6 2 2" xfId="27745"/>
    <cellStyle name="Normal 13 3 2 6 3" xfId="31057"/>
    <cellStyle name="Normal 13 3 2 7" xfId="6736"/>
    <cellStyle name="Normal 13 3 2 7 2" xfId="16082"/>
    <cellStyle name="Normal 13 3 2 7 2 2" xfId="29489"/>
    <cellStyle name="Normal 13 3 2 7 3" xfId="31058"/>
    <cellStyle name="Normal 13 3 2 8" xfId="10098"/>
    <cellStyle name="Normal 13 3 2 8 2" xfId="24327"/>
    <cellStyle name="Normal 13 3 2 9" xfId="31045"/>
    <cellStyle name="Normal 13 3 3" xfId="6737"/>
    <cellStyle name="Normal 13 3 3 2" xfId="6738"/>
    <cellStyle name="Normal 13 3 3 2 2" xfId="6739"/>
    <cellStyle name="Normal 13 3 3 2 2 2" xfId="16809"/>
    <cellStyle name="Normal 13 3 3 2 2 2 2" xfId="30216"/>
    <cellStyle name="Normal 13 3 3 2 2 3" xfId="31061"/>
    <cellStyle name="Normal 13 3 3 2 3" xfId="11480"/>
    <cellStyle name="Normal 13 3 3 2 3 2" xfId="25312"/>
    <cellStyle name="Normal 13 3 3 2 4" xfId="31060"/>
    <cellStyle name="Normal 13 3 3 3" xfId="6740"/>
    <cellStyle name="Normal 13 3 3 3 2" xfId="12197"/>
    <cellStyle name="Normal 13 3 3 3 2 2" xfId="25909"/>
    <cellStyle name="Normal 13 3 3 3 3" xfId="31062"/>
    <cellStyle name="Normal 13 3 3 4" xfId="6741"/>
    <cellStyle name="Normal 13 3 3 4 2" xfId="13761"/>
    <cellStyle name="Normal 13 3 3 4 2 2" xfId="27310"/>
    <cellStyle name="Normal 13 3 3 4 3" xfId="31063"/>
    <cellStyle name="Normal 13 3 3 5" xfId="6742"/>
    <cellStyle name="Normal 13 3 3 5 2" xfId="14342"/>
    <cellStyle name="Normal 13 3 3 5 2 2" xfId="27891"/>
    <cellStyle name="Normal 13 3 3 5 3" xfId="31064"/>
    <cellStyle name="Normal 13 3 3 6" xfId="6743"/>
    <cellStyle name="Normal 13 3 3 6 2" xfId="16228"/>
    <cellStyle name="Normal 13 3 3 6 2 2" xfId="29635"/>
    <cellStyle name="Normal 13 3 3 6 3" xfId="31065"/>
    <cellStyle name="Normal 13 3 3 7" xfId="10100"/>
    <cellStyle name="Normal 13 3 3 7 2" xfId="24329"/>
    <cellStyle name="Normal 13 3 3 8" xfId="31059"/>
    <cellStyle name="Normal 13 3 4" xfId="6744"/>
    <cellStyle name="Normal 13 3 4 2" xfId="6745"/>
    <cellStyle name="Normal 13 3 4 2 2" xfId="17156"/>
    <cellStyle name="Normal 13 3 4 2 2 2" xfId="30515"/>
    <cellStyle name="Normal 13 3 4 2 3" xfId="31067"/>
    <cellStyle name="Normal 13 3 4 3" xfId="11477"/>
    <cellStyle name="Normal 13 3 4 3 2" xfId="25309"/>
    <cellStyle name="Normal 13 3 4 4" xfId="31066"/>
    <cellStyle name="Normal 13 3 5" xfId="6746"/>
    <cellStyle name="Normal 13 3 5 2" xfId="6747"/>
    <cellStyle name="Normal 13 3 5 2 2" xfId="17245"/>
    <cellStyle name="Normal 13 3 5 2 2 2" xfId="30604"/>
    <cellStyle name="Normal 13 3 5 2 3" xfId="31069"/>
    <cellStyle name="Normal 13 3 5 3" xfId="11895"/>
    <cellStyle name="Normal 13 3 5 3 2" xfId="25610"/>
    <cellStyle name="Normal 13 3 5 4" xfId="31068"/>
    <cellStyle name="Normal 13 3 6" xfId="6748"/>
    <cellStyle name="Normal 13 3 6 2" xfId="6749"/>
    <cellStyle name="Normal 13 3 6 2 2" xfId="16520"/>
    <cellStyle name="Normal 13 3 6 2 2 2" xfId="29927"/>
    <cellStyle name="Normal 13 3 6 2 3" xfId="31071"/>
    <cellStyle name="Normal 13 3 6 3" xfId="13472"/>
    <cellStyle name="Normal 13 3 6 3 2" xfId="27021"/>
    <cellStyle name="Normal 13 3 6 4" xfId="31070"/>
    <cellStyle name="Normal 13 3 7" xfId="6750"/>
    <cellStyle name="Normal 13 3 7 2" xfId="14053"/>
    <cellStyle name="Normal 13 3 7 2 2" xfId="27602"/>
    <cellStyle name="Normal 13 3 7 3" xfId="31072"/>
    <cellStyle name="Normal 13 3 8" xfId="6751"/>
    <cellStyle name="Normal 13 3 8 2" xfId="15939"/>
    <cellStyle name="Normal 13 3 8 2 2" xfId="29346"/>
    <cellStyle name="Normal 13 3 8 3" xfId="31073"/>
    <cellStyle name="Normal 13 3 9" xfId="10097"/>
    <cellStyle name="Normal 13 3 9 2" xfId="24326"/>
    <cellStyle name="Normal 13 4" xfId="6752"/>
    <cellStyle name="Normal 13 4 10" xfId="31074"/>
    <cellStyle name="Normal 13 4 2" xfId="6753"/>
    <cellStyle name="Normal 13 4 2 2" xfId="6754"/>
    <cellStyle name="Normal 13 4 2 2 2" xfId="6755"/>
    <cellStyle name="Normal 13 4 2 2 2 2" xfId="6756"/>
    <cellStyle name="Normal 13 4 2 2 2 2 2" xfId="16906"/>
    <cellStyle name="Normal 13 4 2 2 2 2 2 2" xfId="30313"/>
    <cellStyle name="Normal 13 4 2 2 2 2 3" xfId="31078"/>
    <cellStyle name="Normal 13 4 2 2 2 3" xfId="11483"/>
    <cellStyle name="Normal 13 4 2 2 2 3 2" xfId="25315"/>
    <cellStyle name="Normal 13 4 2 2 2 4" xfId="31077"/>
    <cellStyle name="Normal 13 4 2 2 3" xfId="6757"/>
    <cellStyle name="Normal 13 4 2 2 3 2" xfId="12294"/>
    <cellStyle name="Normal 13 4 2 2 3 2 2" xfId="26006"/>
    <cellStyle name="Normal 13 4 2 2 3 3" xfId="31079"/>
    <cellStyle name="Normal 13 4 2 2 4" xfId="6758"/>
    <cellStyle name="Normal 13 4 2 2 4 2" xfId="13858"/>
    <cellStyle name="Normal 13 4 2 2 4 2 2" xfId="27407"/>
    <cellStyle name="Normal 13 4 2 2 4 3" xfId="31080"/>
    <cellStyle name="Normal 13 4 2 2 5" xfId="6759"/>
    <cellStyle name="Normal 13 4 2 2 5 2" xfId="14439"/>
    <cellStyle name="Normal 13 4 2 2 5 2 2" xfId="27988"/>
    <cellStyle name="Normal 13 4 2 2 5 3" xfId="31081"/>
    <cellStyle name="Normal 13 4 2 2 6" xfId="6760"/>
    <cellStyle name="Normal 13 4 2 2 6 2" xfId="16325"/>
    <cellStyle name="Normal 13 4 2 2 6 2 2" xfId="29732"/>
    <cellStyle name="Normal 13 4 2 2 6 3" xfId="31082"/>
    <cellStyle name="Normal 13 4 2 2 7" xfId="10103"/>
    <cellStyle name="Normal 13 4 2 2 7 2" xfId="24332"/>
    <cellStyle name="Normal 13 4 2 2 8" xfId="31076"/>
    <cellStyle name="Normal 13 4 2 3" xfId="6761"/>
    <cellStyle name="Normal 13 4 2 3 2" xfId="6762"/>
    <cellStyle name="Normal 13 4 2 3 2 2" xfId="16617"/>
    <cellStyle name="Normal 13 4 2 3 2 2 2" xfId="30024"/>
    <cellStyle name="Normal 13 4 2 3 2 3" xfId="31084"/>
    <cellStyle name="Normal 13 4 2 3 3" xfId="11482"/>
    <cellStyle name="Normal 13 4 2 3 3 2" xfId="25314"/>
    <cellStyle name="Normal 13 4 2 3 4" xfId="31083"/>
    <cellStyle name="Normal 13 4 2 4" xfId="6763"/>
    <cellStyle name="Normal 13 4 2 4 2" xfId="11994"/>
    <cellStyle name="Normal 13 4 2 4 2 2" xfId="25709"/>
    <cellStyle name="Normal 13 4 2 4 3" xfId="31085"/>
    <cellStyle name="Normal 13 4 2 5" xfId="6764"/>
    <cellStyle name="Normal 13 4 2 5 2" xfId="13569"/>
    <cellStyle name="Normal 13 4 2 5 2 2" xfId="27118"/>
    <cellStyle name="Normal 13 4 2 5 3" xfId="31086"/>
    <cellStyle name="Normal 13 4 2 6" xfId="6765"/>
    <cellStyle name="Normal 13 4 2 6 2" xfId="14150"/>
    <cellStyle name="Normal 13 4 2 6 2 2" xfId="27699"/>
    <cellStyle name="Normal 13 4 2 6 3" xfId="31087"/>
    <cellStyle name="Normal 13 4 2 7" xfId="6766"/>
    <cellStyle name="Normal 13 4 2 7 2" xfId="16036"/>
    <cellStyle name="Normal 13 4 2 7 2 2" xfId="29443"/>
    <cellStyle name="Normal 13 4 2 7 3" xfId="31088"/>
    <cellStyle name="Normal 13 4 2 8" xfId="10102"/>
    <cellStyle name="Normal 13 4 2 8 2" xfId="24331"/>
    <cellStyle name="Normal 13 4 2 9" xfId="31075"/>
    <cellStyle name="Normal 13 4 3" xfId="6767"/>
    <cellStyle name="Normal 13 4 3 2" xfId="6768"/>
    <cellStyle name="Normal 13 4 3 2 2" xfId="6769"/>
    <cellStyle name="Normal 13 4 3 2 2 2" xfId="16766"/>
    <cellStyle name="Normal 13 4 3 2 2 2 2" xfId="30173"/>
    <cellStyle name="Normal 13 4 3 2 2 3" xfId="31091"/>
    <cellStyle name="Normal 13 4 3 2 3" xfId="11484"/>
    <cellStyle name="Normal 13 4 3 2 3 2" xfId="25316"/>
    <cellStyle name="Normal 13 4 3 2 4" xfId="31090"/>
    <cellStyle name="Normal 13 4 3 3" xfId="6770"/>
    <cellStyle name="Normal 13 4 3 3 2" xfId="12154"/>
    <cellStyle name="Normal 13 4 3 3 2 2" xfId="25866"/>
    <cellStyle name="Normal 13 4 3 3 3" xfId="31092"/>
    <cellStyle name="Normal 13 4 3 4" xfId="6771"/>
    <cellStyle name="Normal 13 4 3 4 2" xfId="13718"/>
    <cellStyle name="Normal 13 4 3 4 2 2" xfId="27267"/>
    <cellStyle name="Normal 13 4 3 4 3" xfId="31093"/>
    <cellStyle name="Normal 13 4 3 5" xfId="6772"/>
    <cellStyle name="Normal 13 4 3 5 2" xfId="14299"/>
    <cellStyle name="Normal 13 4 3 5 2 2" xfId="27848"/>
    <cellStyle name="Normal 13 4 3 5 3" xfId="31094"/>
    <cellStyle name="Normal 13 4 3 6" xfId="6773"/>
    <cellStyle name="Normal 13 4 3 6 2" xfId="16185"/>
    <cellStyle name="Normal 13 4 3 6 2 2" xfId="29592"/>
    <cellStyle name="Normal 13 4 3 6 3" xfId="31095"/>
    <cellStyle name="Normal 13 4 3 7" xfId="10104"/>
    <cellStyle name="Normal 13 4 3 7 2" xfId="24333"/>
    <cellStyle name="Normal 13 4 3 8" xfId="31089"/>
    <cellStyle name="Normal 13 4 4" xfId="6774"/>
    <cellStyle name="Normal 13 4 4 2" xfId="6775"/>
    <cellStyle name="Normal 13 4 4 2 2" xfId="16474"/>
    <cellStyle name="Normal 13 4 4 2 2 2" xfId="29881"/>
    <cellStyle name="Normal 13 4 4 2 3" xfId="31097"/>
    <cellStyle name="Normal 13 4 4 3" xfId="11481"/>
    <cellStyle name="Normal 13 4 4 3 2" xfId="25313"/>
    <cellStyle name="Normal 13 4 4 4" xfId="31096"/>
    <cellStyle name="Normal 13 4 5" xfId="6776"/>
    <cellStyle name="Normal 13 4 5 2" xfId="11825"/>
    <cellStyle name="Normal 13 4 5 2 2" xfId="25540"/>
    <cellStyle name="Normal 13 4 5 3" xfId="31098"/>
    <cellStyle name="Normal 13 4 6" xfId="6777"/>
    <cellStyle name="Normal 13 4 6 2" xfId="13426"/>
    <cellStyle name="Normal 13 4 6 2 2" xfId="26975"/>
    <cellStyle name="Normal 13 4 6 3" xfId="31099"/>
    <cellStyle name="Normal 13 4 7" xfId="6778"/>
    <cellStyle name="Normal 13 4 7 2" xfId="14007"/>
    <cellStyle name="Normal 13 4 7 2 2" xfId="27556"/>
    <cellStyle name="Normal 13 4 7 3" xfId="31100"/>
    <cellStyle name="Normal 13 4 8" xfId="6779"/>
    <cellStyle name="Normal 13 4 8 2" xfId="15893"/>
    <cellStyle name="Normal 13 4 8 2 2" xfId="29300"/>
    <cellStyle name="Normal 13 4 8 3" xfId="31101"/>
    <cellStyle name="Normal 13 4 9" xfId="10101"/>
    <cellStyle name="Normal 13 4 9 2" xfId="24330"/>
    <cellStyle name="Normal 13 5" xfId="6780"/>
    <cellStyle name="Normal 13 5 10" xfId="31102"/>
    <cellStyle name="Normal 13 5 2" xfId="6781"/>
    <cellStyle name="Normal 13 5 2 2" xfId="6782"/>
    <cellStyle name="Normal 13 5 2 2 2" xfId="6783"/>
    <cellStyle name="Normal 13 5 2 2 2 2" xfId="6784"/>
    <cellStyle name="Normal 13 5 2 2 2 2 2" xfId="16889"/>
    <cellStyle name="Normal 13 5 2 2 2 2 2 2" xfId="30296"/>
    <cellStyle name="Normal 13 5 2 2 2 2 3" xfId="31106"/>
    <cellStyle name="Normal 13 5 2 2 2 3" xfId="11487"/>
    <cellStyle name="Normal 13 5 2 2 2 3 2" xfId="25319"/>
    <cellStyle name="Normal 13 5 2 2 2 4" xfId="31105"/>
    <cellStyle name="Normal 13 5 2 2 3" xfId="6785"/>
    <cellStyle name="Normal 13 5 2 2 3 2" xfId="12277"/>
    <cellStyle name="Normal 13 5 2 2 3 2 2" xfId="25989"/>
    <cellStyle name="Normal 13 5 2 2 3 3" xfId="31107"/>
    <cellStyle name="Normal 13 5 2 2 4" xfId="6786"/>
    <cellStyle name="Normal 13 5 2 2 4 2" xfId="13841"/>
    <cellStyle name="Normal 13 5 2 2 4 2 2" xfId="27390"/>
    <cellStyle name="Normal 13 5 2 2 4 3" xfId="31108"/>
    <cellStyle name="Normal 13 5 2 2 5" xfId="6787"/>
    <cellStyle name="Normal 13 5 2 2 5 2" xfId="14422"/>
    <cellStyle name="Normal 13 5 2 2 5 2 2" xfId="27971"/>
    <cellStyle name="Normal 13 5 2 2 5 3" xfId="31109"/>
    <cellStyle name="Normal 13 5 2 2 6" xfId="6788"/>
    <cellStyle name="Normal 13 5 2 2 6 2" xfId="16308"/>
    <cellStyle name="Normal 13 5 2 2 6 2 2" xfId="29715"/>
    <cellStyle name="Normal 13 5 2 2 6 3" xfId="31110"/>
    <cellStyle name="Normal 13 5 2 2 7" xfId="10107"/>
    <cellStyle name="Normal 13 5 2 2 7 2" xfId="24336"/>
    <cellStyle name="Normal 13 5 2 2 8" xfId="31104"/>
    <cellStyle name="Normal 13 5 2 3" xfId="6789"/>
    <cellStyle name="Normal 13 5 2 3 2" xfId="6790"/>
    <cellStyle name="Normal 13 5 2 3 2 2" xfId="16600"/>
    <cellStyle name="Normal 13 5 2 3 2 2 2" xfId="30007"/>
    <cellStyle name="Normal 13 5 2 3 2 3" xfId="31112"/>
    <cellStyle name="Normal 13 5 2 3 3" xfId="11486"/>
    <cellStyle name="Normal 13 5 2 3 3 2" xfId="25318"/>
    <cellStyle name="Normal 13 5 2 3 4" xfId="31111"/>
    <cellStyle name="Normal 13 5 2 4" xfId="6791"/>
    <cellStyle name="Normal 13 5 2 4 2" xfId="11977"/>
    <cellStyle name="Normal 13 5 2 4 2 2" xfId="25692"/>
    <cellStyle name="Normal 13 5 2 4 3" xfId="31113"/>
    <cellStyle name="Normal 13 5 2 5" xfId="6792"/>
    <cellStyle name="Normal 13 5 2 5 2" xfId="13552"/>
    <cellStyle name="Normal 13 5 2 5 2 2" xfId="27101"/>
    <cellStyle name="Normal 13 5 2 5 3" xfId="31114"/>
    <cellStyle name="Normal 13 5 2 6" xfId="6793"/>
    <cellStyle name="Normal 13 5 2 6 2" xfId="14133"/>
    <cellStyle name="Normal 13 5 2 6 2 2" xfId="27682"/>
    <cellStyle name="Normal 13 5 2 6 3" xfId="31115"/>
    <cellStyle name="Normal 13 5 2 7" xfId="6794"/>
    <cellStyle name="Normal 13 5 2 7 2" xfId="16019"/>
    <cellStyle name="Normal 13 5 2 7 2 2" xfId="29426"/>
    <cellStyle name="Normal 13 5 2 7 3" xfId="31116"/>
    <cellStyle name="Normal 13 5 2 8" xfId="10106"/>
    <cellStyle name="Normal 13 5 2 8 2" xfId="24335"/>
    <cellStyle name="Normal 13 5 2 9" xfId="31103"/>
    <cellStyle name="Normal 13 5 3" xfId="6795"/>
    <cellStyle name="Normal 13 5 3 2" xfId="6796"/>
    <cellStyle name="Normal 13 5 3 2 2" xfId="6797"/>
    <cellStyle name="Normal 13 5 3 2 2 2" xfId="16749"/>
    <cellStyle name="Normal 13 5 3 2 2 2 2" xfId="30156"/>
    <cellStyle name="Normal 13 5 3 2 2 3" xfId="31119"/>
    <cellStyle name="Normal 13 5 3 2 3" xfId="11488"/>
    <cellStyle name="Normal 13 5 3 2 3 2" xfId="25320"/>
    <cellStyle name="Normal 13 5 3 2 4" xfId="31118"/>
    <cellStyle name="Normal 13 5 3 3" xfId="6798"/>
    <cellStyle name="Normal 13 5 3 3 2" xfId="12137"/>
    <cellStyle name="Normal 13 5 3 3 2 2" xfId="25849"/>
    <cellStyle name="Normal 13 5 3 3 3" xfId="31120"/>
    <cellStyle name="Normal 13 5 3 4" xfId="6799"/>
    <cellStyle name="Normal 13 5 3 4 2" xfId="13701"/>
    <cellStyle name="Normal 13 5 3 4 2 2" xfId="27250"/>
    <cellStyle name="Normal 13 5 3 4 3" xfId="31121"/>
    <cellStyle name="Normal 13 5 3 5" xfId="6800"/>
    <cellStyle name="Normal 13 5 3 5 2" xfId="14282"/>
    <cellStyle name="Normal 13 5 3 5 2 2" xfId="27831"/>
    <cellStyle name="Normal 13 5 3 5 3" xfId="31122"/>
    <cellStyle name="Normal 13 5 3 6" xfId="6801"/>
    <cellStyle name="Normal 13 5 3 6 2" xfId="16168"/>
    <cellStyle name="Normal 13 5 3 6 2 2" xfId="29575"/>
    <cellStyle name="Normal 13 5 3 6 3" xfId="31123"/>
    <cellStyle name="Normal 13 5 3 7" xfId="10108"/>
    <cellStyle name="Normal 13 5 3 7 2" xfId="24337"/>
    <cellStyle name="Normal 13 5 3 8" xfId="31117"/>
    <cellStyle name="Normal 13 5 4" xfId="6802"/>
    <cellStyle name="Normal 13 5 4 2" xfId="6803"/>
    <cellStyle name="Normal 13 5 4 2 2" xfId="16457"/>
    <cellStyle name="Normal 13 5 4 2 2 2" xfId="29864"/>
    <cellStyle name="Normal 13 5 4 2 3" xfId="31125"/>
    <cellStyle name="Normal 13 5 4 3" xfId="11485"/>
    <cellStyle name="Normal 13 5 4 3 2" xfId="25317"/>
    <cellStyle name="Normal 13 5 4 4" xfId="31124"/>
    <cellStyle name="Normal 13 5 5" xfId="6804"/>
    <cellStyle name="Normal 13 5 5 2" xfId="11808"/>
    <cellStyle name="Normal 13 5 5 2 2" xfId="25523"/>
    <cellStyle name="Normal 13 5 5 3" xfId="31126"/>
    <cellStyle name="Normal 13 5 6" xfId="6805"/>
    <cellStyle name="Normal 13 5 6 2" xfId="13409"/>
    <cellStyle name="Normal 13 5 6 2 2" xfId="26958"/>
    <cellStyle name="Normal 13 5 6 3" xfId="31127"/>
    <cellStyle name="Normal 13 5 7" xfId="6806"/>
    <cellStyle name="Normal 13 5 7 2" xfId="13990"/>
    <cellStyle name="Normal 13 5 7 2 2" xfId="27539"/>
    <cellStyle name="Normal 13 5 7 3" xfId="31128"/>
    <cellStyle name="Normal 13 5 8" xfId="6807"/>
    <cellStyle name="Normal 13 5 8 2" xfId="15876"/>
    <cellStyle name="Normal 13 5 8 2 2" xfId="29283"/>
    <cellStyle name="Normal 13 5 8 3" xfId="31129"/>
    <cellStyle name="Normal 13 5 9" xfId="10105"/>
    <cellStyle name="Normal 13 5 9 2" xfId="24334"/>
    <cellStyle name="Normal 13 6" xfId="6808"/>
    <cellStyle name="Normal 13 6 10" xfId="31130"/>
    <cellStyle name="Normal 13 6 2" xfId="6809"/>
    <cellStyle name="Normal 13 6 2 2" xfId="6810"/>
    <cellStyle name="Normal 13 6 2 2 2" xfId="6811"/>
    <cellStyle name="Normal 13 6 2 2 2 2" xfId="6812"/>
    <cellStyle name="Normal 13 6 2 2 2 2 2" xfId="16995"/>
    <cellStyle name="Normal 13 6 2 2 2 2 2 2" xfId="30402"/>
    <cellStyle name="Normal 13 6 2 2 2 2 3" xfId="31134"/>
    <cellStyle name="Normal 13 6 2 2 2 3" xfId="11491"/>
    <cellStyle name="Normal 13 6 2 2 2 3 2" xfId="25323"/>
    <cellStyle name="Normal 13 6 2 2 2 4" xfId="31133"/>
    <cellStyle name="Normal 13 6 2 2 3" xfId="6813"/>
    <cellStyle name="Normal 13 6 2 2 3 2" xfId="12383"/>
    <cellStyle name="Normal 13 6 2 2 3 2 2" xfId="26095"/>
    <cellStyle name="Normal 13 6 2 2 3 3" xfId="31135"/>
    <cellStyle name="Normal 13 6 2 2 4" xfId="6814"/>
    <cellStyle name="Normal 13 6 2 2 4 2" xfId="13947"/>
    <cellStyle name="Normal 13 6 2 2 4 2 2" xfId="27496"/>
    <cellStyle name="Normal 13 6 2 2 4 3" xfId="31136"/>
    <cellStyle name="Normal 13 6 2 2 5" xfId="6815"/>
    <cellStyle name="Normal 13 6 2 2 5 2" xfId="14528"/>
    <cellStyle name="Normal 13 6 2 2 5 2 2" xfId="28077"/>
    <cellStyle name="Normal 13 6 2 2 5 3" xfId="31137"/>
    <cellStyle name="Normal 13 6 2 2 6" xfId="6816"/>
    <cellStyle name="Normal 13 6 2 2 6 2" xfId="16414"/>
    <cellStyle name="Normal 13 6 2 2 6 2 2" xfId="29821"/>
    <cellStyle name="Normal 13 6 2 2 6 3" xfId="31138"/>
    <cellStyle name="Normal 13 6 2 2 7" xfId="10111"/>
    <cellStyle name="Normal 13 6 2 2 7 2" xfId="24340"/>
    <cellStyle name="Normal 13 6 2 2 8" xfId="31132"/>
    <cellStyle name="Normal 13 6 2 3" xfId="6817"/>
    <cellStyle name="Normal 13 6 2 3 2" xfId="6818"/>
    <cellStyle name="Normal 13 6 2 3 2 2" xfId="16706"/>
    <cellStyle name="Normal 13 6 2 3 2 2 2" xfId="30113"/>
    <cellStyle name="Normal 13 6 2 3 2 3" xfId="31140"/>
    <cellStyle name="Normal 13 6 2 3 3" xfId="11490"/>
    <cellStyle name="Normal 13 6 2 3 3 2" xfId="25322"/>
    <cellStyle name="Normal 13 6 2 3 4" xfId="31139"/>
    <cellStyle name="Normal 13 6 2 4" xfId="6819"/>
    <cellStyle name="Normal 13 6 2 4 2" xfId="12083"/>
    <cellStyle name="Normal 13 6 2 4 2 2" xfId="25798"/>
    <cellStyle name="Normal 13 6 2 4 3" xfId="31141"/>
    <cellStyle name="Normal 13 6 2 5" xfId="6820"/>
    <cellStyle name="Normal 13 6 2 5 2" xfId="13658"/>
    <cellStyle name="Normal 13 6 2 5 2 2" xfId="27207"/>
    <cellStyle name="Normal 13 6 2 5 3" xfId="31142"/>
    <cellStyle name="Normal 13 6 2 6" xfId="6821"/>
    <cellStyle name="Normal 13 6 2 6 2" xfId="14239"/>
    <cellStyle name="Normal 13 6 2 6 2 2" xfId="27788"/>
    <cellStyle name="Normal 13 6 2 6 3" xfId="31143"/>
    <cellStyle name="Normal 13 6 2 7" xfId="6822"/>
    <cellStyle name="Normal 13 6 2 7 2" xfId="16125"/>
    <cellStyle name="Normal 13 6 2 7 2 2" xfId="29532"/>
    <cellStyle name="Normal 13 6 2 7 3" xfId="31144"/>
    <cellStyle name="Normal 13 6 2 8" xfId="10110"/>
    <cellStyle name="Normal 13 6 2 8 2" xfId="24339"/>
    <cellStyle name="Normal 13 6 2 9" xfId="31131"/>
    <cellStyle name="Normal 13 6 3" xfId="6823"/>
    <cellStyle name="Normal 13 6 3 2" xfId="6824"/>
    <cellStyle name="Normal 13 6 3 2 2" xfId="6825"/>
    <cellStyle name="Normal 13 6 3 2 2 2" xfId="16852"/>
    <cellStyle name="Normal 13 6 3 2 2 2 2" xfId="30259"/>
    <cellStyle name="Normal 13 6 3 2 2 3" xfId="31147"/>
    <cellStyle name="Normal 13 6 3 2 3" xfId="11492"/>
    <cellStyle name="Normal 13 6 3 2 3 2" xfId="25324"/>
    <cellStyle name="Normal 13 6 3 2 4" xfId="31146"/>
    <cellStyle name="Normal 13 6 3 3" xfId="6826"/>
    <cellStyle name="Normal 13 6 3 3 2" xfId="12240"/>
    <cellStyle name="Normal 13 6 3 3 2 2" xfId="25952"/>
    <cellStyle name="Normal 13 6 3 3 3" xfId="31148"/>
    <cellStyle name="Normal 13 6 3 4" xfId="6827"/>
    <cellStyle name="Normal 13 6 3 4 2" xfId="13804"/>
    <cellStyle name="Normal 13 6 3 4 2 2" xfId="27353"/>
    <cellStyle name="Normal 13 6 3 4 3" xfId="31149"/>
    <cellStyle name="Normal 13 6 3 5" xfId="6828"/>
    <cellStyle name="Normal 13 6 3 5 2" xfId="14385"/>
    <cellStyle name="Normal 13 6 3 5 2 2" xfId="27934"/>
    <cellStyle name="Normal 13 6 3 5 3" xfId="31150"/>
    <cellStyle name="Normal 13 6 3 6" xfId="6829"/>
    <cellStyle name="Normal 13 6 3 6 2" xfId="16271"/>
    <cellStyle name="Normal 13 6 3 6 2 2" xfId="29678"/>
    <cellStyle name="Normal 13 6 3 6 3" xfId="31151"/>
    <cellStyle name="Normal 13 6 3 7" xfId="10112"/>
    <cellStyle name="Normal 13 6 3 7 2" xfId="24341"/>
    <cellStyle name="Normal 13 6 3 8" xfId="31145"/>
    <cellStyle name="Normal 13 6 4" xfId="6830"/>
    <cellStyle name="Normal 13 6 4 2" xfId="6831"/>
    <cellStyle name="Normal 13 6 4 2 2" xfId="16563"/>
    <cellStyle name="Normal 13 6 4 2 2 2" xfId="29970"/>
    <cellStyle name="Normal 13 6 4 2 3" xfId="31153"/>
    <cellStyle name="Normal 13 6 4 3" xfId="11489"/>
    <cellStyle name="Normal 13 6 4 3 2" xfId="25321"/>
    <cellStyle name="Normal 13 6 4 4" xfId="31152"/>
    <cellStyle name="Normal 13 6 5" xfId="6832"/>
    <cellStyle name="Normal 13 6 5 2" xfId="11938"/>
    <cellStyle name="Normal 13 6 5 2 2" xfId="25653"/>
    <cellStyle name="Normal 13 6 5 3" xfId="31154"/>
    <cellStyle name="Normal 13 6 6" xfId="6833"/>
    <cellStyle name="Normal 13 6 6 2" xfId="13515"/>
    <cellStyle name="Normal 13 6 6 2 2" xfId="27064"/>
    <cellStyle name="Normal 13 6 6 3" xfId="31155"/>
    <cellStyle name="Normal 13 6 7" xfId="6834"/>
    <cellStyle name="Normal 13 6 7 2" xfId="14096"/>
    <cellStyle name="Normal 13 6 7 2 2" xfId="27645"/>
    <cellStyle name="Normal 13 6 7 3" xfId="31156"/>
    <cellStyle name="Normal 13 6 8" xfId="6835"/>
    <cellStyle name="Normal 13 6 8 2" xfId="15982"/>
    <cellStyle name="Normal 13 6 8 2 2" xfId="29389"/>
    <cellStyle name="Normal 13 6 8 3" xfId="31157"/>
    <cellStyle name="Normal 13 6 9" xfId="10109"/>
    <cellStyle name="Normal 13 6 9 2" xfId="24338"/>
    <cellStyle name="Normal 13 7" xfId="6836"/>
    <cellStyle name="Normal 13 7 2" xfId="6837"/>
    <cellStyle name="Normal 13 7 2 2" xfId="6838"/>
    <cellStyle name="Normal 13 7 2 2 2" xfId="6839"/>
    <cellStyle name="Normal 13 7 2 2 2 2" xfId="16872"/>
    <cellStyle name="Normal 13 7 2 2 2 2 2" xfId="30279"/>
    <cellStyle name="Normal 13 7 2 2 2 3" xfId="31161"/>
    <cellStyle name="Normal 13 7 2 2 3" xfId="11494"/>
    <cellStyle name="Normal 13 7 2 2 3 2" xfId="25326"/>
    <cellStyle name="Normal 13 7 2 2 4" xfId="31160"/>
    <cellStyle name="Normal 13 7 2 3" xfId="6840"/>
    <cellStyle name="Normal 13 7 2 3 2" xfId="12260"/>
    <cellStyle name="Normal 13 7 2 3 2 2" xfId="25972"/>
    <cellStyle name="Normal 13 7 2 3 3" xfId="31162"/>
    <cellStyle name="Normal 13 7 2 4" xfId="6841"/>
    <cellStyle name="Normal 13 7 2 4 2" xfId="13824"/>
    <cellStyle name="Normal 13 7 2 4 2 2" xfId="27373"/>
    <cellStyle name="Normal 13 7 2 4 3" xfId="31163"/>
    <cellStyle name="Normal 13 7 2 5" xfId="6842"/>
    <cellStyle name="Normal 13 7 2 5 2" xfId="14405"/>
    <cellStyle name="Normal 13 7 2 5 2 2" xfId="27954"/>
    <cellStyle name="Normal 13 7 2 5 3" xfId="31164"/>
    <cellStyle name="Normal 13 7 2 6" xfId="6843"/>
    <cellStyle name="Normal 13 7 2 6 2" xfId="16291"/>
    <cellStyle name="Normal 13 7 2 6 2 2" xfId="29698"/>
    <cellStyle name="Normal 13 7 2 6 3" xfId="31165"/>
    <cellStyle name="Normal 13 7 2 7" xfId="10114"/>
    <cellStyle name="Normal 13 7 2 7 2" xfId="24343"/>
    <cellStyle name="Normal 13 7 2 8" xfId="31159"/>
    <cellStyle name="Normal 13 7 3" xfId="6844"/>
    <cellStyle name="Normal 13 7 3 2" xfId="6845"/>
    <cellStyle name="Normal 13 7 3 2 2" xfId="16583"/>
    <cellStyle name="Normal 13 7 3 2 2 2" xfId="29990"/>
    <cellStyle name="Normal 13 7 3 2 3" xfId="31167"/>
    <cellStyle name="Normal 13 7 3 3" xfId="11493"/>
    <cellStyle name="Normal 13 7 3 3 2" xfId="25325"/>
    <cellStyle name="Normal 13 7 3 4" xfId="31166"/>
    <cellStyle name="Normal 13 7 4" xfId="6846"/>
    <cellStyle name="Normal 13 7 4 2" xfId="11960"/>
    <cellStyle name="Normal 13 7 4 2 2" xfId="25675"/>
    <cellStyle name="Normal 13 7 4 3" xfId="31168"/>
    <cellStyle name="Normal 13 7 5" xfId="6847"/>
    <cellStyle name="Normal 13 7 5 2" xfId="13535"/>
    <cellStyle name="Normal 13 7 5 2 2" xfId="27084"/>
    <cellStyle name="Normal 13 7 5 3" xfId="31169"/>
    <cellStyle name="Normal 13 7 6" xfId="6848"/>
    <cellStyle name="Normal 13 7 6 2" xfId="14116"/>
    <cellStyle name="Normal 13 7 6 2 2" xfId="27665"/>
    <cellStyle name="Normal 13 7 6 3" xfId="31170"/>
    <cellStyle name="Normal 13 7 7" xfId="6849"/>
    <cellStyle name="Normal 13 7 7 2" xfId="16002"/>
    <cellStyle name="Normal 13 7 7 2 2" xfId="29409"/>
    <cellStyle name="Normal 13 7 7 3" xfId="31171"/>
    <cellStyle name="Normal 13 7 8" xfId="10113"/>
    <cellStyle name="Normal 13 7 8 2" xfId="24342"/>
    <cellStyle name="Normal 13 7 9" xfId="31158"/>
    <cellStyle name="Normal 13 8" xfId="6850"/>
    <cellStyle name="Normal 13 8 2" xfId="6851"/>
    <cellStyle name="Normal 13 8 2 2" xfId="6852"/>
    <cellStyle name="Normal 13 8 2 2 2" xfId="16728"/>
    <cellStyle name="Normal 13 8 2 2 2 2" xfId="30135"/>
    <cellStyle name="Normal 13 8 2 2 3" xfId="31174"/>
    <cellStyle name="Normal 13 8 2 3" xfId="11495"/>
    <cellStyle name="Normal 13 8 2 3 2" xfId="25327"/>
    <cellStyle name="Normal 13 8 2 4" xfId="31173"/>
    <cellStyle name="Normal 13 8 3" xfId="6853"/>
    <cellStyle name="Normal 13 8 3 2" xfId="12113"/>
    <cellStyle name="Normal 13 8 3 2 2" xfId="25825"/>
    <cellStyle name="Normal 13 8 3 3" xfId="31175"/>
    <cellStyle name="Normal 13 8 4" xfId="6854"/>
    <cellStyle name="Normal 13 8 4 2" xfId="13680"/>
    <cellStyle name="Normal 13 8 4 2 2" xfId="27229"/>
    <cellStyle name="Normal 13 8 4 3" xfId="31176"/>
    <cellStyle name="Normal 13 8 5" xfId="6855"/>
    <cellStyle name="Normal 13 8 5 2" xfId="14261"/>
    <cellStyle name="Normal 13 8 5 2 2" xfId="27810"/>
    <cellStyle name="Normal 13 8 5 3" xfId="31177"/>
    <cellStyle name="Normal 13 8 6" xfId="6856"/>
    <cellStyle name="Normal 13 8 6 2" xfId="16147"/>
    <cellStyle name="Normal 13 8 6 2 2" xfId="29554"/>
    <cellStyle name="Normal 13 8 6 3" xfId="31178"/>
    <cellStyle name="Normal 13 8 7" xfId="10115"/>
    <cellStyle name="Normal 13 8 7 2" xfId="24344"/>
    <cellStyle name="Normal 13 8 8" xfId="31172"/>
    <cellStyle name="Normal 13 9" xfId="6857"/>
    <cellStyle name="Normal 13 9 2" xfId="6858"/>
    <cellStyle name="Normal 13 9 2 2" xfId="11724"/>
    <cellStyle name="Normal 13 9 2 2 2" xfId="25444"/>
    <cellStyle name="Normal 13 9 2 3" xfId="31180"/>
    <cellStyle name="Normal 13 9 3" xfId="6859"/>
    <cellStyle name="Normal 13 9 3 2" xfId="13242"/>
    <cellStyle name="Normal 13 9 3 2 2" xfId="26887"/>
    <cellStyle name="Normal 13 9 3 3" xfId="31181"/>
    <cellStyle name="Normal 13 9 4" xfId="6860"/>
    <cellStyle name="Normal 13 9 4 2" xfId="15693"/>
    <cellStyle name="Normal 13 9 4 2 2" xfId="29179"/>
    <cellStyle name="Normal 13 9 4 3" xfId="31182"/>
    <cellStyle name="Normal 13 9 5" xfId="6861"/>
    <cellStyle name="Normal 13 9 5 2" xfId="17036"/>
    <cellStyle name="Normal 13 9 5 2 2" xfId="30439"/>
    <cellStyle name="Normal 13 9 5 3" xfId="31183"/>
    <cellStyle name="Normal 13 9 6" xfId="10497"/>
    <cellStyle name="Normal 13 9 6 2" xfId="24448"/>
    <cellStyle name="Normal 13 9 7" xfId="31179"/>
    <cellStyle name="Normal 14" xfId="6862"/>
    <cellStyle name="Normal 14 10" xfId="6863"/>
    <cellStyle name="Normal 14 10 2" xfId="6864"/>
    <cellStyle name="Normal 14 10 2 2" xfId="17291"/>
    <cellStyle name="Normal 14 10 2 2 2" xfId="30650"/>
    <cellStyle name="Normal 14 10 2 3" xfId="31186"/>
    <cellStyle name="Normal 14 10 3" xfId="14010"/>
    <cellStyle name="Normal 14 10 3 2" xfId="27559"/>
    <cellStyle name="Normal 14 10 4" xfId="31185"/>
    <cellStyle name="Normal 14 11" xfId="6865"/>
    <cellStyle name="Normal 14 11 2" xfId="16477"/>
    <cellStyle name="Normal 14 11 2 2" xfId="29884"/>
    <cellStyle name="Normal 14 11 3" xfId="31187"/>
    <cellStyle name="Normal 14 12" xfId="6866"/>
    <cellStyle name="Normal 14 12 2" xfId="15896"/>
    <cellStyle name="Normal 14 12 2 2" xfId="29303"/>
    <cellStyle name="Normal 14 12 3" xfId="31188"/>
    <cellStyle name="Normal 14 13" xfId="10116"/>
    <cellStyle name="Normal 14 14" xfId="31184"/>
    <cellStyle name="Normal 14 15" xfId="33038"/>
    <cellStyle name="Normal 14 2" xfId="6867"/>
    <cellStyle name="Normal 14 2 10" xfId="10117"/>
    <cellStyle name="Normal 14 2 10 2" xfId="24345"/>
    <cellStyle name="Normal 14 2 11" xfId="31189"/>
    <cellStyle name="Normal 14 2 2" xfId="6868"/>
    <cellStyle name="Normal 14 2 2 10" xfId="31190"/>
    <cellStyle name="Normal 14 2 2 2" xfId="6869"/>
    <cellStyle name="Normal 14 2 2 2 2" xfId="6870"/>
    <cellStyle name="Normal 14 2 2 2 2 2" xfId="6871"/>
    <cellStyle name="Normal 14 2 2 2 2 2 2" xfId="6872"/>
    <cellStyle name="Normal 14 2 2 2 2 2 2 2" xfId="16978"/>
    <cellStyle name="Normal 14 2 2 2 2 2 2 2 2" xfId="30385"/>
    <cellStyle name="Normal 14 2 2 2 2 2 2 3" xfId="31194"/>
    <cellStyle name="Normal 14 2 2 2 2 2 3" xfId="11499"/>
    <cellStyle name="Normal 14 2 2 2 2 2 3 2" xfId="25331"/>
    <cellStyle name="Normal 14 2 2 2 2 2 4" xfId="31193"/>
    <cellStyle name="Normal 14 2 2 2 2 3" xfId="6873"/>
    <cellStyle name="Normal 14 2 2 2 2 3 2" xfId="12366"/>
    <cellStyle name="Normal 14 2 2 2 2 3 2 2" xfId="26078"/>
    <cellStyle name="Normal 14 2 2 2 2 3 3" xfId="31195"/>
    <cellStyle name="Normal 14 2 2 2 2 4" xfId="6874"/>
    <cellStyle name="Normal 14 2 2 2 2 4 2" xfId="13930"/>
    <cellStyle name="Normal 14 2 2 2 2 4 2 2" xfId="27479"/>
    <cellStyle name="Normal 14 2 2 2 2 4 3" xfId="31196"/>
    <cellStyle name="Normal 14 2 2 2 2 5" xfId="6875"/>
    <cellStyle name="Normal 14 2 2 2 2 5 2" xfId="14511"/>
    <cellStyle name="Normal 14 2 2 2 2 5 2 2" xfId="28060"/>
    <cellStyle name="Normal 14 2 2 2 2 5 3" xfId="31197"/>
    <cellStyle name="Normal 14 2 2 2 2 6" xfId="6876"/>
    <cellStyle name="Normal 14 2 2 2 2 6 2" xfId="16397"/>
    <cellStyle name="Normal 14 2 2 2 2 6 2 2" xfId="29804"/>
    <cellStyle name="Normal 14 2 2 2 2 6 3" xfId="31198"/>
    <cellStyle name="Normal 14 2 2 2 2 7" xfId="10120"/>
    <cellStyle name="Normal 14 2 2 2 2 7 2" xfId="24348"/>
    <cellStyle name="Normal 14 2 2 2 2 8" xfId="31192"/>
    <cellStyle name="Normal 14 2 2 2 3" xfId="6877"/>
    <cellStyle name="Normal 14 2 2 2 3 2" xfId="6878"/>
    <cellStyle name="Normal 14 2 2 2 3 2 2" xfId="16689"/>
    <cellStyle name="Normal 14 2 2 2 3 2 2 2" xfId="30096"/>
    <cellStyle name="Normal 14 2 2 2 3 2 3" xfId="31200"/>
    <cellStyle name="Normal 14 2 2 2 3 3" xfId="11498"/>
    <cellStyle name="Normal 14 2 2 2 3 3 2" xfId="25330"/>
    <cellStyle name="Normal 14 2 2 2 3 4" xfId="31199"/>
    <cellStyle name="Normal 14 2 2 2 4" xfId="6879"/>
    <cellStyle name="Normal 14 2 2 2 4 2" xfId="12066"/>
    <cellStyle name="Normal 14 2 2 2 4 2 2" xfId="25781"/>
    <cellStyle name="Normal 14 2 2 2 4 3" xfId="31201"/>
    <cellStyle name="Normal 14 2 2 2 5" xfId="6880"/>
    <cellStyle name="Normal 14 2 2 2 5 2" xfId="13641"/>
    <cellStyle name="Normal 14 2 2 2 5 2 2" xfId="27190"/>
    <cellStyle name="Normal 14 2 2 2 5 3" xfId="31202"/>
    <cellStyle name="Normal 14 2 2 2 6" xfId="6881"/>
    <cellStyle name="Normal 14 2 2 2 6 2" xfId="14222"/>
    <cellStyle name="Normal 14 2 2 2 6 2 2" xfId="27771"/>
    <cellStyle name="Normal 14 2 2 2 6 3" xfId="31203"/>
    <cellStyle name="Normal 14 2 2 2 7" xfId="6882"/>
    <cellStyle name="Normal 14 2 2 2 7 2" xfId="16108"/>
    <cellStyle name="Normal 14 2 2 2 7 2 2" xfId="29515"/>
    <cellStyle name="Normal 14 2 2 2 7 3" xfId="31204"/>
    <cellStyle name="Normal 14 2 2 2 8" xfId="10119"/>
    <cellStyle name="Normal 14 2 2 2 8 2" xfId="24347"/>
    <cellStyle name="Normal 14 2 2 2 9" xfId="31191"/>
    <cellStyle name="Normal 14 2 2 3" xfId="6883"/>
    <cellStyle name="Normal 14 2 2 3 2" xfId="6884"/>
    <cellStyle name="Normal 14 2 2 3 2 2" xfId="6885"/>
    <cellStyle name="Normal 14 2 2 3 2 2 2" xfId="16835"/>
    <cellStyle name="Normal 14 2 2 3 2 2 2 2" xfId="30242"/>
    <cellStyle name="Normal 14 2 2 3 2 2 3" xfId="31207"/>
    <cellStyle name="Normal 14 2 2 3 2 3" xfId="11500"/>
    <cellStyle name="Normal 14 2 2 3 2 3 2" xfId="25332"/>
    <cellStyle name="Normal 14 2 2 3 2 4" xfId="31206"/>
    <cellStyle name="Normal 14 2 2 3 3" xfId="6886"/>
    <cellStyle name="Normal 14 2 2 3 3 2" xfId="12223"/>
    <cellStyle name="Normal 14 2 2 3 3 2 2" xfId="25935"/>
    <cellStyle name="Normal 14 2 2 3 3 3" xfId="31208"/>
    <cellStyle name="Normal 14 2 2 3 4" xfId="6887"/>
    <cellStyle name="Normal 14 2 2 3 4 2" xfId="13787"/>
    <cellStyle name="Normal 14 2 2 3 4 2 2" xfId="27336"/>
    <cellStyle name="Normal 14 2 2 3 4 3" xfId="31209"/>
    <cellStyle name="Normal 14 2 2 3 5" xfId="6888"/>
    <cellStyle name="Normal 14 2 2 3 5 2" xfId="14368"/>
    <cellStyle name="Normal 14 2 2 3 5 2 2" xfId="27917"/>
    <cellStyle name="Normal 14 2 2 3 5 3" xfId="31210"/>
    <cellStyle name="Normal 14 2 2 3 6" xfId="6889"/>
    <cellStyle name="Normal 14 2 2 3 6 2" xfId="16254"/>
    <cellStyle name="Normal 14 2 2 3 6 2 2" xfId="29661"/>
    <cellStyle name="Normal 14 2 2 3 6 3" xfId="31211"/>
    <cellStyle name="Normal 14 2 2 3 7" xfId="10121"/>
    <cellStyle name="Normal 14 2 2 3 7 2" xfId="24349"/>
    <cellStyle name="Normal 14 2 2 3 8" xfId="31205"/>
    <cellStyle name="Normal 14 2 2 4" xfId="6890"/>
    <cellStyle name="Normal 14 2 2 4 2" xfId="6891"/>
    <cellStyle name="Normal 14 2 2 4 2 2" xfId="17182"/>
    <cellStyle name="Normal 14 2 2 4 2 2 2" xfId="30541"/>
    <cellStyle name="Normal 14 2 2 4 2 3" xfId="31213"/>
    <cellStyle name="Normal 14 2 2 4 3" xfId="11497"/>
    <cellStyle name="Normal 14 2 2 4 3 2" xfId="25329"/>
    <cellStyle name="Normal 14 2 2 4 4" xfId="31212"/>
    <cellStyle name="Normal 14 2 2 5" xfId="6892"/>
    <cellStyle name="Normal 14 2 2 5 2" xfId="6893"/>
    <cellStyle name="Normal 14 2 2 5 2 2" xfId="17271"/>
    <cellStyle name="Normal 14 2 2 5 2 2 2" xfId="30630"/>
    <cellStyle name="Normal 14 2 2 5 2 3" xfId="31215"/>
    <cellStyle name="Normal 14 2 2 5 3" xfId="11921"/>
    <cellStyle name="Normal 14 2 2 5 3 2" xfId="25636"/>
    <cellStyle name="Normal 14 2 2 5 4" xfId="31214"/>
    <cellStyle name="Normal 14 2 2 6" xfId="6894"/>
    <cellStyle name="Normal 14 2 2 6 2" xfId="6895"/>
    <cellStyle name="Normal 14 2 2 6 2 2" xfId="16546"/>
    <cellStyle name="Normal 14 2 2 6 2 2 2" xfId="29953"/>
    <cellStyle name="Normal 14 2 2 6 2 3" xfId="31217"/>
    <cellStyle name="Normal 14 2 2 6 3" xfId="13498"/>
    <cellStyle name="Normal 14 2 2 6 3 2" xfId="27047"/>
    <cellStyle name="Normal 14 2 2 6 4" xfId="31216"/>
    <cellStyle name="Normal 14 2 2 7" xfId="6896"/>
    <cellStyle name="Normal 14 2 2 7 2" xfId="14079"/>
    <cellStyle name="Normal 14 2 2 7 2 2" xfId="27628"/>
    <cellStyle name="Normal 14 2 2 7 3" xfId="31218"/>
    <cellStyle name="Normal 14 2 2 8" xfId="6897"/>
    <cellStyle name="Normal 14 2 2 8 2" xfId="15965"/>
    <cellStyle name="Normal 14 2 2 8 2 2" xfId="29372"/>
    <cellStyle name="Normal 14 2 2 8 3" xfId="31219"/>
    <cellStyle name="Normal 14 2 2 9" xfId="10118"/>
    <cellStyle name="Normal 14 2 2 9 2" xfId="24346"/>
    <cellStyle name="Normal 14 2 3" xfId="6898"/>
    <cellStyle name="Normal 14 2 3 2" xfId="6899"/>
    <cellStyle name="Normal 14 2 3 2 2" xfId="6900"/>
    <cellStyle name="Normal 14 2 3 2 2 2" xfId="6901"/>
    <cellStyle name="Normal 14 2 3 2 2 2 2" xfId="16932"/>
    <cellStyle name="Normal 14 2 3 2 2 2 2 2" xfId="30339"/>
    <cellStyle name="Normal 14 2 3 2 2 2 3" xfId="31223"/>
    <cellStyle name="Normal 14 2 3 2 2 3" xfId="11502"/>
    <cellStyle name="Normal 14 2 3 2 2 3 2" xfId="25334"/>
    <cellStyle name="Normal 14 2 3 2 2 4" xfId="31222"/>
    <cellStyle name="Normal 14 2 3 2 3" xfId="6902"/>
    <cellStyle name="Normal 14 2 3 2 3 2" xfId="12320"/>
    <cellStyle name="Normal 14 2 3 2 3 2 2" xfId="26032"/>
    <cellStyle name="Normal 14 2 3 2 3 3" xfId="31224"/>
    <cellStyle name="Normal 14 2 3 2 4" xfId="6903"/>
    <cellStyle name="Normal 14 2 3 2 4 2" xfId="13884"/>
    <cellStyle name="Normal 14 2 3 2 4 2 2" xfId="27433"/>
    <cellStyle name="Normal 14 2 3 2 4 3" xfId="31225"/>
    <cellStyle name="Normal 14 2 3 2 5" xfId="6904"/>
    <cellStyle name="Normal 14 2 3 2 5 2" xfId="14465"/>
    <cellStyle name="Normal 14 2 3 2 5 2 2" xfId="28014"/>
    <cellStyle name="Normal 14 2 3 2 5 3" xfId="31226"/>
    <cellStyle name="Normal 14 2 3 2 6" xfId="6905"/>
    <cellStyle name="Normal 14 2 3 2 6 2" xfId="16351"/>
    <cellStyle name="Normal 14 2 3 2 6 2 2" xfId="29758"/>
    <cellStyle name="Normal 14 2 3 2 6 3" xfId="31227"/>
    <cellStyle name="Normal 14 2 3 2 7" xfId="10123"/>
    <cellStyle name="Normal 14 2 3 2 7 2" xfId="24351"/>
    <cellStyle name="Normal 14 2 3 2 8" xfId="31221"/>
    <cellStyle name="Normal 14 2 3 3" xfId="6906"/>
    <cellStyle name="Normal 14 2 3 3 2" xfId="6907"/>
    <cellStyle name="Normal 14 2 3 3 2 2" xfId="16643"/>
    <cellStyle name="Normal 14 2 3 3 2 2 2" xfId="30050"/>
    <cellStyle name="Normal 14 2 3 3 2 3" xfId="31229"/>
    <cellStyle name="Normal 14 2 3 3 3" xfId="11501"/>
    <cellStyle name="Normal 14 2 3 3 3 2" xfId="25333"/>
    <cellStyle name="Normal 14 2 3 3 4" xfId="31228"/>
    <cellStyle name="Normal 14 2 3 4" xfId="6908"/>
    <cellStyle name="Normal 14 2 3 4 2" xfId="12020"/>
    <cellStyle name="Normal 14 2 3 4 2 2" xfId="25735"/>
    <cellStyle name="Normal 14 2 3 4 3" xfId="31230"/>
    <cellStyle name="Normal 14 2 3 5" xfId="6909"/>
    <cellStyle name="Normal 14 2 3 5 2" xfId="13595"/>
    <cellStyle name="Normal 14 2 3 5 2 2" xfId="27144"/>
    <cellStyle name="Normal 14 2 3 5 3" xfId="31231"/>
    <cellStyle name="Normal 14 2 3 6" xfId="6910"/>
    <cellStyle name="Normal 14 2 3 6 2" xfId="14176"/>
    <cellStyle name="Normal 14 2 3 6 2 2" xfId="27725"/>
    <cellStyle name="Normal 14 2 3 6 3" xfId="31232"/>
    <cellStyle name="Normal 14 2 3 7" xfId="6911"/>
    <cellStyle name="Normal 14 2 3 7 2" xfId="16062"/>
    <cellStyle name="Normal 14 2 3 7 2 2" xfId="29469"/>
    <cellStyle name="Normal 14 2 3 7 3" xfId="31233"/>
    <cellStyle name="Normal 14 2 3 8" xfId="10122"/>
    <cellStyle name="Normal 14 2 3 8 2" xfId="24350"/>
    <cellStyle name="Normal 14 2 3 9" xfId="31220"/>
    <cellStyle name="Normal 14 2 4" xfId="6912"/>
    <cellStyle name="Normal 14 2 4 2" xfId="6913"/>
    <cellStyle name="Normal 14 2 4 2 2" xfId="6914"/>
    <cellStyle name="Normal 14 2 4 2 2 2" xfId="16789"/>
    <cellStyle name="Normal 14 2 4 2 2 2 2" xfId="30196"/>
    <cellStyle name="Normal 14 2 4 2 2 3" xfId="31236"/>
    <cellStyle name="Normal 14 2 4 2 3" xfId="11503"/>
    <cellStyle name="Normal 14 2 4 2 3 2" xfId="25335"/>
    <cellStyle name="Normal 14 2 4 2 4" xfId="31235"/>
    <cellStyle name="Normal 14 2 4 3" xfId="6915"/>
    <cellStyle name="Normal 14 2 4 3 2" xfId="12177"/>
    <cellStyle name="Normal 14 2 4 3 2 2" xfId="25889"/>
    <cellStyle name="Normal 14 2 4 3 3" xfId="31237"/>
    <cellStyle name="Normal 14 2 4 4" xfId="6916"/>
    <cellStyle name="Normal 14 2 4 4 2" xfId="13741"/>
    <cellStyle name="Normal 14 2 4 4 2 2" xfId="27290"/>
    <cellStyle name="Normal 14 2 4 4 3" xfId="31238"/>
    <cellStyle name="Normal 14 2 4 5" xfId="6917"/>
    <cellStyle name="Normal 14 2 4 5 2" xfId="14322"/>
    <cellStyle name="Normal 14 2 4 5 2 2" xfId="27871"/>
    <cellStyle name="Normal 14 2 4 5 3" xfId="31239"/>
    <cellStyle name="Normal 14 2 4 6" xfId="6918"/>
    <cellStyle name="Normal 14 2 4 6 2" xfId="16208"/>
    <cellStyle name="Normal 14 2 4 6 2 2" xfId="29615"/>
    <cellStyle name="Normal 14 2 4 6 3" xfId="31240"/>
    <cellStyle name="Normal 14 2 4 7" xfId="10124"/>
    <cellStyle name="Normal 14 2 4 7 2" xfId="24352"/>
    <cellStyle name="Normal 14 2 4 8" xfId="31234"/>
    <cellStyle name="Normal 14 2 5" xfId="6919"/>
    <cellStyle name="Normal 14 2 5 2" xfId="6920"/>
    <cellStyle name="Normal 14 2 5 2 2" xfId="17136"/>
    <cellStyle name="Normal 14 2 5 2 2 2" xfId="30495"/>
    <cellStyle name="Normal 14 2 5 2 3" xfId="31242"/>
    <cellStyle name="Normal 14 2 5 3" xfId="11496"/>
    <cellStyle name="Normal 14 2 5 3 2" xfId="25328"/>
    <cellStyle name="Normal 14 2 5 4" xfId="31241"/>
    <cellStyle name="Normal 14 2 6" xfId="6921"/>
    <cellStyle name="Normal 14 2 6 2" xfId="6922"/>
    <cellStyle name="Normal 14 2 6 2 2" xfId="17225"/>
    <cellStyle name="Normal 14 2 6 2 2 2" xfId="30584"/>
    <cellStyle name="Normal 14 2 6 2 3" xfId="31244"/>
    <cellStyle name="Normal 14 2 6 3" xfId="11864"/>
    <cellStyle name="Normal 14 2 6 3 2" xfId="25579"/>
    <cellStyle name="Normal 14 2 6 4" xfId="31243"/>
    <cellStyle name="Normal 14 2 7" xfId="6923"/>
    <cellStyle name="Normal 14 2 7 2" xfId="6924"/>
    <cellStyle name="Normal 14 2 7 2 2" xfId="16500"/>
    <cellStyle name="Normal 14 2 7 2 2 2" xfId="29907"/>
    <cellStyle name="Normal 14 2 7 2 3" xfId="31246"/>
    <cellStyle name="Normal 14 2 7 3" xfId="13452"/>
    <cellStyle name="Normal 14 2 7 3 2" xfId="27001"/>
    <cellStyle name="Normal 14 2 7 4" xfId="31245"/>
    <cellStyle name="Normal 14 2 8" xfId="6925"/>
    <cellStyle name="Normal 14 2 8 2" xfId="14033"/>
    <cellStyle name="Normal 14 2 8 2 2" xfId="27582"/>
    <cellStyle name="Normal 14 2 8 3" xfId="31247"/>
    <cellStyle name="Normal 14 2 9" xfId="6926"/>
    <cellStyle name="Normal 14 2 9 2" xfId="15919"/>
    <cellStyle name="Normal 14 2 9 2 2" xfId="29326"/>
    <cellStyle name="Normal 14 2 9 3" xfId="31248"/>
    <cellStyle name="Normal 14 3" xfId="6927"/>
    <cellStyle name="Normal 14 3 10" xfId="31249"/>
    <cellStyle name="Normal 14 3 2" xfId="6928"/>
    <cellStyle name="Normal 14 3 2 2" xfId="6929"/>
    <cellStyle name="Normal 14 3 2 2 2" xfId="6930"/>
    <cellStyle name="Normal 14 3 2 2 2 2" xfId="6931"/>
    <cellStyle name="Normal 14 3 2 2 2 2 2" xfId="16955"/>
    <cellStyle name="Normal 14 3 2 2 2 2 2 2" xfId="30362"/>
    <cellStyle name="Normal 14 3 2 2 2 2 3" xfId="31253"/>
    <cellStyle name="Normal 14 3 2 2 2 3" xfId="11506"/>
    <cellStyle name="Normal 14 3 2 2 2 3 2" xfId="25338"/>
    <cellStyle name="Normal 14 3 2 2 2 4" xfId="31252"/>
    <cellStyle name="Normal 14 3 2 2 3" xfId="6932"/>
    <cellStyle name="Normal 14 3 2 2 3 2" xfId="12343"/>
    <cellStyle name="Normal 14 3 2 2 3 2 2" xfId="26055"/>
    <cellStyle name="Normal 14 3 2 2 3 3" xfId="31254"/>
    <cellStyle name="Normal 14 3 2 2 4" xfId="6933"/>
    <cellStyle name="Normal 14 3 2 2 4 2" xfId="13907"/>
    <cellStyle name="Normal 14 3 2 2 4 2 2" xfId="27456"/>
    <cellStyle name="Normal 14 3 2 2 4 3" xfId="31255"/>
    <cellStyle name="Normal 14 3 2 2 5" xfId="6934"/>
    <cellStyle name="Normal 14 3 2 2 5 2" xfId="14488"/>
    <cellStyle name="Normal 14 3 2 2 5 2 2" xfId="28037"/>
    <cellStyle name="Normal 14 3 2 2 5 3" xfId="31256"/>
    <cellStyle name="Normal 14 3 2 2 6" xfId="6935"/>
    <cellStyle name="Normal 14 3 2 2 6 2" xfId="16374"/>
    <cellStyle name="Normal 14 3 2 2 6 2 2" xfId="29781"/>
    <cellStyle name="Normal 14 3 2 2 6 3" xfId="31257"/>
    <cellStyle name="Normal 14 3 2 2 7" xfId="10127"/>
    <cellStyle name="Normal 14 3 2 2 7 2" xfId="24355"/>
    <cellStyle name="Normal 14 3 2 2 8" xfId="31251"/>
    <cellStyle name="Normal 14 3 2 3" xfId="6936"/>
    <cellStyle name="Normal 14 3 2 3 2" xfId="6937"/>
    <cellStyle name="Normal 14 3 2 3 2 2" xfId="16666"/>
    <cellStyle name="Normal 14 3 2 3 2 2 2" xfId="30073"/>
    <cellStyle name="Normal 14 3 2 3 2 3" xfId="31259"/>
    <cellStyle name="Normal 14 3 2 3 3" xfId="11505"/>
    <cellStyle name="Normal 14 3 2 3 3 2" xfId="25337"/>
    <cellStyle name="Normal 14 3 2 3 4" xfId="31258"/>
    <cellStyle name="Normal 14 3 2 4" xfId="6938"/>
    <cellStyle name="Normal 14 3 2 4 2" xfId="12043"/>
    <cellStyle name="Normal 14 3 2 4 2 2" xfId="25758"/>
    <cellStyle name="Normal 14 3 2 4 3" xfId="31260"/>
    <cellStyle name="Normal 14 3 2 5" xfId="6939"/>
    <cellStyle name="Normal 14 3 2 5 2" xfId="13618"/>
    <cellStyle name="Normal 14 3 2 5 2 2" xfId="27167"/>
    <cellStyle name="Normal 14 3 2 5 3" xfId="31261"/>
    <cellStyle name="Normal 14 3 2 6" xfId="6940"/>
    <cellStyle name="Normal 14 3 2 6 2" xfId="14199"/>
    <cellStyle name="Normal 14 3 2 6 2 2" xfId="27748"/>
    <cellStyle name="Normal 14 3 2 6 3" xfId="31262"/>
    <cellStyle name="Normal 14 3 2 7" xfId="6941"/>
    <cellStyle name="Normal 14 3 2 7 2" xfId="16085"/>
    <cellStyle name="Normal 14 3 2 7 2 2" xfId="29492"/>
    <cellStyle name="Normal 14 3 2 7 3" xfId="31263"/>
    <cellStyle name="Normal 14 3 2 8" xfId="10126"/>
    <cellStyle name="Normal 14 3 2 8 2" xfId="24354"/>
    <cellStyle name="Normal 14 3 2 9" xfId="31250"/>
    <cellStyle name="Normal 14 3 3" xfId="6942"/>
    <cellStyle name="Normal 14 3 3 2" xfId="6943"/>
    <cellStyle name="Normal 14 3 3 2 2" xfId="6944"/>
    <cellStyle name="Normal 14 3 3 2 2 2" xfId="16812"/>
    <cellStyle name="Normal 14 3 3 2 2 2 2" xfId="30219"/>
    <cellStyle name="Normal 14 3 3 2 2 3" xfId="31266"/>
    <cellStyle name="Normal 14 3 3 2 3" xfId="11507"/>
    <cellStyle name="Normal 14 3 3 2 3 2" xfId="25339"/>
    <cellStyle name="Normal 14 3 3 2 4" xfId="31265"/>
    <cellStyle name="Normal 14 3 3 3" xfId="6945"/>
    <cellStyle name="Normal 14 3 3 3 2" xfId="12200"/>
    <cellStyle name="Normal 14 3 3 3 2 2" xfId="25912"/>
    <cellStyle name="Normal 14 3 3 3 3" xfId="31267"/>
    <cellStyle name="Normal 14 3 3 4" xfId="6946"/>
    <cellStyle name="Normal 14 3 3 4 2" xfId="13764"/>
    <cellStyle name="Normal 14 3 3 4 2 2" xfId="27313"/>
    <cellStyle name="Normal 14 3 3 4 3" xfId="31268"/>
    <cellStyle name="Normal 14 3 3 5" xfId="6947"/>
    <cellStyle name="Normal 14 3 3 5 2" xfId="14345"/>
    <cellStyle name="Normal 14 3 3 5 2 2" xfId="27894"/>
    <cellStyle name="Normal 14 3 3 5 3" xfId="31269"/>
    <cellStyle name="Normal 14 3 3 6" xfId="6948"/>
    <cellStyle name="Normal 14 3 3 6 2" xfId="16231"/>
    <cellStyle name="Normal 14 3 3 6 2 2" xfId="29638"/>
    <cellStyle name="Normal 14 3 3 6 3" xfId="31270"/>
    <cellStyle name="Normal 14 3 3 7" xfId="10128"/>
    <cellStyle name="Normal 14 3 3 7 2" xfId="24356"/>
    <cellStyle name="Normal 14 3 3 8" xfId="31264"/>
    <cellStyle name="Normal 14 3 4" xfId="6949"/>
    <cellStyle name="Normal 14 3 4 2" xfId="6950"/>
    <cellStyle name="Normal 14 3 4 2 2" xfId="17159"/>
    <cellStyle name="Normal 14 3 4 2 2 2" xfId="30518"/>
    <cellStyle name="Normal 14 3 4 2 3" xfId="31272"/>
    <cellStyle name="Normal 14 3 4 3" xfId="11504"/>
    <cellStyle name="Normal 14 3 4 3 2" xfId="25336"/>
    <cellStyle name="Normal 14 3 4 4" xfId="31271"/>
    <cellStyle name="Normal 14 3 5" xfId="6951"/>
    <cellStyle name="Normal 14 3 5 2" xfId="6952"/>
    <cellStyle name="Normal 14 3 5 2 2" xfId="17248"/>
    <cellStyle name="Normal 14 3 5 2 2 2" xfId="30607"/>
    <cellStyle name="Normal 14 3 5 2 3" xfId="31274"/>
    <cellStyle name="Normal 14 3 5 3" xfId="11898"/>
    <cellStyle name="Normal 14 3 5 3 2" xfId="25613"/>
    <cellStyle name="Normal 14 3 5 4" xfId="31273"/>
    <cellStyle name="Normal 14 3 6" xfId="6953"/>
    <cellStyle name="Normal 14 3 6 2" xfId="6954"/>
    <cellStyle name="Normal 14 3 6 2 2" xfId="16523"/>
    <cellStyle name="Normal 14 3 6 2 2 2" xfId="29930"/>
    <cellStyle name="Normal 14 3 6 2 3" xfId="31276"/>
    <cellStyle name="Normal 14 3 6 3" xfId="13475"/>
    <cellStyle name="Normal 14 3 6 3 2" xfId="27024"/>
    <cellStyle name="Normal 14 3 6 4" xfId="31275"/>
    <cellStyle name="Normal 14 3 7" xfId="6955"/>
    <cellStyle name="Normal 14 3 7 2" xfId="14056"/>
    <cellStyle name="Normal 14 3 7 2 2" xfId="27605"/>
    <cellStyle name="Normal 14 3 7 3" xfId="31277"/>
    <cellStyle name="Normal 14 3 8" xfId="6956"/>
    <cellStyle name="Normal 14 3 8 2" xfId="15942"/>
    <cellStyle name="Normal 14 3 8 2 2" xfId="29349"/>
    <cellStyle name="Normal 14 3 8 3" xfId="31278"/>
    <cellStyle name="Normal 14 3 9" xfId="10125"/>
    <cellStyle name="Normal 14 3 9 2" xfId="24353"/>
    <cellStyle name="Normal 14 4" xfId="6957"/>
    <cellStyle name="Normal 14 4 10" xfId="31279"/>
    <cellStyle name="Normal 14 4 2" xfId="6958"/>
    <cellStyle name="Normal 14 4 2 2" xfId="6959"/>
    <cellStyle name="Normal 14 4 2 2 2" xfId="6960"/>
    <cellStyle name="Normal 14 4 2 2 2 2" xfId="6961"/>
    <cellStyle name="Normal 14 4 2 2 2 2 2" xfId="16998"/>
    <cellStyle name="Normal 14 4 2 2 2 2 2 2" xfId="30405"/>
    <cellStyle name="Normal 14 4 2 2 2 2 3" xfId="31283"/>
    <cellStyle name="Normal 14 4 2 2 2 3" xfId="11510"/>
    <cellStyle name="Normal 14 4 2 2 2 3 2" xfId="25342"/>
    <cellStyle name="Normal 14 4 2 2 2 4" xfId="31282"/>
    <cellStyle name="Normal 14 4 2 2 3" xfId="6962"/>
    <cellStyle name="Normal 14 4 2 2 3 2" xfId="12386"/>
    <cellStyle name="Normal 14 4 2 2 3 2 2" xfId="26098"/>
    <cellStyle name="Normal 14 4 2 2 3 3" xfId="31284"/>
    <cellStyle name="Normal 14 4 2 2 4" xfId="6963"/>
    <cellStyle name="Normal 14 4 2 2 4 2" xfId="13950"/>
    <cellStyle name="Normal 14 4 2 2 4 2 2" xfId="27499"/>
    <cellStyle name="Normal 14 4 2 2 4 3" xfId="31285"/>
    <cellStyle name="Normal 14 4 2 2 5" xfId="6964"/>
    <cellStyle name="Normal 14 4 2 2 5 2" xfId="14531"/>
    <cellStyle name="Normal 14 4 2 2 5 2 2" xfId="28080"/>
    <cellStyle name="Normal 14 4 2 2 5 3" xfId="31286"/>
    <cellStyle name="Normal 14 4 2 2 6" xfId="6965"/>
    <cellStyle name="Normal 14 4 2 2 6 2" xfId="16417"/>
    <cellStyle name="Normal 14 4 2 2 6 2 2" xfId="29824"/>
    <cellStyle name="Normal 14 4 2 2 6 3" xfId="31287"/>
    <cellStyle name="Normal 14 4 2 2 7" xfId="10131"/>
    <cellStyle name="Normal 14 4 2 2 7 2" xfId="24359"/>
    <cellStyle name="Normal 14 4 2 2 8" xfId="31281"/>
    <cellStyle name="Normal 14 4 2 3" xfId="6966"/>
    <cellStyle name="Normal 14 4 2 3 2" xfId="6967"/>
    <cellStyle name="Normal 14 4 2 3 2 2" xfId="16709"/>
    <cellStyle name="Normal 14 4 2 3 2 2 2" xfId="30116"/>
    <cellStyle name="Normal 14 4 2 3 2 3" xfId="31289"/>
    <cellStyle name="Normal 14 4 2 3 3" xfId="11509"/>
    <cellStyle name="Normal 14 4 2 3 3 2" xfId="25341"/>
    <cellStyle name="Normal 14 4 2 3 4" xfId="31288"/>
    <cellStyle name="Normal 14 4 2 4" xfId="6968"/>
    <cellStyle name="Normal 14 4 2 4 2" xfId="12086"/>
    <cellStyle name="Normal 14 4 2 4 2 2" xfId="25801"/>
    <cellStyle name="Normal 14 4 2 4 3" xfId="31290"/>
    <cellStyle name="Normal 14 4 2 5" xfId="6969"/>
    <cellStyle name="Normal 14 4 2 5 2" xfId="13661"/>
    <cellStyle name="Normal 14 4 2 5 2 2" xfId="27210"/>
    <cellStyle name="Normal 14 4 2 5 3" xfId="31291"/>
    <cellStyle name="Normal 14 4 2 6" xfId="6970"/>
    <cellStyle name="Normal 14 4 2 6 2" xfId="14242"/>
    <cellStyle name="Normal 14 4 2 6 2 2" xfId="27791"/>
    <cellStyle name="Normal 14 4 2 6 3" xfId="31292"/>
    <cellStyle name="Normal 14 4 2 7" xfId="6971"/>
    <cellStyle name="Normal 14 4 2 7 2" xfId="16128"/>
    <cellStyle name="Normal 14 4 2 7 2 2" xfId="29535"/>
    <cellStyle name="Normal 14 4 2 7 3" xfId="31293"/>
    <cellStyle name="Normal 14 4 2 8" xfId="10130"/>
    <cellStyle name="Normal 14 4 2 8 2" xfId="24358"/>
    <cellStyle name="Normal 14 4 2 9" xfId="31280"/>
    <cellStyle name="Normal 14 4 3" xfId="6972"/>
    <cellStyle name="Normal 14 4 3 2" xfId="6973"/>
    <cellStyle name="Normal 14 4 3 2 2" xfId="6974"/>
    <cellStyle name="Normal 14 4 3 2 2 2" xfId="16855"/>
    <cellStyle name="Normal 14 4 3 2 2 2 2" xfId="30262"/>
    <cellStyle name="Normal 14 4 3 2 2 3" xfId="31296"/>
    <cellStyle name="Normal 14 4 3 2 3" xfId="11511"/>
    <cellStyle name="Normal 14 4 3 2 3 2" xfId="25343"/>
    <cellStyle name="Normal 14 4 3 2 4" xfId="31295"/>
    <cellStyle name="Normal 14 4 3 3" xfId="6975"/>
    <cellStyle name="Normal 14 4 3 3 2" xfId="12243"/>
    <cellStyle name="Normal 14 4 3 3 2 2" xfId="25955"/>
    <cellStyle name="Normal 14 4 3 3 3" xfId="31297"/>
    <cellStyle name="Normal 14 4 3 4" xfId="6976"/>
    <cellStyle name="Normal 14 4 3 4 2" xfId="13807"/>
    <cellStyle name="Normal 14 4 3 4 2 2" xfId="27356"/>
    <cellStyle name="Normal 14 4 3 4 3" xfId="31298"/>
    <cellStyle name="Normal 14 4 3 5" xfId="6977"/>
    <cellStyle name="Normal 14 4 3 5 2" xfId="14388"/>
    <cellStyle name="Normal 14 4 3 5 2 2" xfId="27937"/>
    <cellStyle name="Normal 14 4 3 5 3" xfId="31299"/>
    <cellStyle name="Normal 14 4 3 6" xfId="6978"/>
    <cellStyle name="Normal 14 4 3 6 2" xfId="16274"/>
    <cellStyle name="Normal 14 4 3 6 2 2" xfId="29681"/>
    <cellStyle name="Normal 14 4 3 6 3" xfId="31300"/>
    <cellStyle name="Normal 14 4 3 7" xfId="10132"/>
    <cellStyle name="Normal 14 4 3 7 2" xfId="24360"/>
    <cellStyle name="Normal 14 4 3 8" xfId="31294"/>
    <cellStyle name="Normal 14 4 4" xfId="6979"/>
    <cellStyle name="Normal 14 4 4 2" xfId="6980"/>
    <cellStyle name="Normal 14 4 4 2 2" xfId="16566"/>
    <cellStyle name="Normal 14 4 4 2 2 2" xfId="29973"/>
    <cellStyle name="Normal 14 4 4 2 3" xfId="31302"/>
    <cellStyle name="Normal 14 4 4 3" xfId="11508"/>
    <cellStyle name="Normal 14 4 4 3 2" xfId="25340"/>
    <cellStyle name="Normal 14 4 4 4" xfId="31301"/>
    <cellStyle name="Normal 14 4 5" xfId="6981"/>
    <cellStyle name="Normal 14 4 5 2" xfId="11941"/>
    <cellStyle name="Normal 14 4 5 2 2" xfId="25656"/>
    <cellStyle name="Normal 14 4 5 3" xfId="31303"/>
    <cellStyle name="Normal 14 4 6" xfId="6982"/>
    <cellStyle name="Normal 14 4 6 2" xfId="13518"/>
    <cellStyle name="Normal 14 4 6 2 2" xfId="27067"/>
    <cellStyle name="Normal 14 4 6 3" xfId="31304"/>
    <cellStyle name="Normal 14 4 7" xfId="6983"/>
    <cellStyle name="Normal 14 4 7 2" xfId="14099"/>
    <cellStyle name="Normal 14 4 7 2 2" xfId="27648"/>
    <cellStyle name="Normal 14 4 7 3" xfId="31305"/>
    <cellStyle name="Normal 14 4 8" xfId="6984"/>
    <cellStyle name="Normal 14 4 8 2" xfId="15985"/>
    <cellStyle name="Normal 14 4 8 2 2" xfId="29392"/>
    <cellStyle name="Normal 14 4 8 3" xfId="31306"/>
    <cellStyle name="Normal 14 4 9" xfId="10129"/>
    <cellStyle name="Normal 14 4 9 2" xfId="24357"/>
    <cellStyle name="Normal 14 5" xfId="6985"/>
    <cellStyle name="Normal 14 5 2" xfId="6986"/>
    <cellStyle name="Normal 14 5 2 2" xfId="6987"/>
    <cellStyle name="Normal 14 5 2 2 2" xfId="6988"/>
    <cellStyle name="Normal 14 5 2 2 2 2" xfId="16909"/>
    <cellStyle name="Normal 14 5 2 2 2 2 2" xfId="30316"/>
    <cellStyle name="Normal 14 5 2 2 2 3" xfId="31310"/>
    <cellStyle name="Normal 14 5 2 2 3" xfId="11513"/>
    <cellStyle name="Normal 14 5 2 2 3 2" xfId="25345"/>
    <cellStyle name="Normal 14 5 2 2 4" xfId="31309"/>
    <cellStyle name="Normal 14 5 2 3" xfId="6989"/>
    <cellStyle name="Normal 14 5 2 3 2" xfId="12297"/>
    <cellStyle name="Normal 14 5 2 3 2 2" xfId="26009"/>
    <cellStyle name="Normal 14 5 2 3 3" xfId="31311"/>
    <cellStyle name="Normal 14 5 2 4" xfId="6990"/>
    <cellStyle name="Normal 14 5 2 4 2" xfId="13861"/>
    <cellStyle name="Normal 14 5 2 4 2 2" xfId="27410"/>
    <cellStyle name="Normal 14 5 2 4 3" xfId="31312"/>
    <cellStyle name="Normal 14 5 2 5" xfId="6991"/>
    <cellStyle name="Normal 14 5 2 5 2" xfId="14442"/>
    <cellStyle name="Normal 14 5 2 5 2 2" xfId="27991"/>
    <cellStyle name="Normal 14 5 2 5 3" xfId="31313"/>
    <cellStyle name="Normal 14 5 2 6" xfId="6992"/>
    <cellStyle name="Normal 14 5 2 6 2" xfId="16328"/>
    <cellStyle name="Normal 14 5 2 6 2 2" xfId="29735"/>
    <cellStyle name="Normal 14 5 2 6 3" xfId="31314"/>
    <cellStyle name="Normal 14 5 2 7" xfId="10134"/>
    <cellStyle name="Normal 14 5 2 7 2" xfId="24362"/>
    <cellStyle name="Normal 14 5 2 8" xfId="31308"/>
    <cellStyle name="Normal 14 5 3" xfId="6993"/>
    <cellStyle name="Normal 14 5 3 2" xfId="6994"/>
    <cellStyle name="Normal 14 5 3 2 2" xfId="16620"/>
    <cellStyle name="Normal 14 5 3 2 2 2" xfId="30027"/>
    <cellStyle name="Normal 14 5 3 2 3" xfId="31316"/>
    <cellStyle name="Normal 14 5 3 3" xfId="11512"/>
    <cellStyle name="Normal 14 5 3 3 2" xfId="25344"/>
    <cellStyle name="Normal 14 5 3 4" xfId="31315"/>
    <cellStyle name="Normal 14 5 4" xfId="6995"/>
    <cellStyle name="Normal 14 5 4 2" xfId="11997"/>
    <cellStyle name="Normal 14 5 4 2 2" xfId="25712"/>
    <cellStyle name="Normal 14 5 4 3" xfId="31317"/>
    <cellStyle name="Normal 14 5 5" xfId="6996"/>
    <cellStyle name="Normal 14 5 5 2" xfId="13572"/>
    <cellStyle name="Normal 14 5 5 2 2" xfId="27121"/>
    <cellStyle name="Normal 14 5 5 3" xfId="31318"/>
    <cellStyle name="Normal 14 5 6" xfId="6997"/>
    <cellStyle name="Normal 14 5 6 2" xfId="14153"/>
    <cellStyle name="Normal 14 5 6 2 2" xfId="27702"/>
    <cellStyle name="Normal 14 5 6 3" xfId="31319"/>
    <cellStyle name="Normal 14 5 7" xfId="6998"/>
    <cellStyle name="Normal 14 5 7 2" xfId="16039"/>
    <cellStyle name="Normal 14 5 7 2 2" xfId="29446"/>
    <cellStyle name="Normal 14 5 7 3" xfId="31320"/>
    <cellStyle name="Normal 14 5 8" xfId="10133"/>
    <cellStyle name="Normal 14 5 8 2" xfId="24361"/>
    <cellStyle name="Normal 14 5 9" xfId="31307"/>
    <cellStyle name="Normal 14 6" xfId="6999"/>
    <cellStyle name="Normal 14 6 2" xfId="7000"/>
    <cellStyle name="Normal 14 6 2 2" xfId="7001"/>
    <cellStyle name="Normal 14 6 2 2 2" xfId="16732"/>
    <cellStyle name="Normal 14 6 2 2 2 2" xfId="30139"/>
    <cellStyle name="Normal 14 6 2 2 3" xfId="31323"/>
    <cellStyle name="Normal 14 6 2 3" xfId="11514"/>
    <cellStyle name="Normal 14 6 2 3 2" xfId="25346"/>
    <cellStyle name="Normal 14 6 2 4" xfId="31322"/>
    <cellStyle name="Normal 14 6 3" xfId="7002"/>
    <cellStyle name="Normal 14 6 3 2" xfId="12120"/>
    <cellStyle name="Normal 14 6 3 2 2" xfId="25832"/>
    <cellStyle name="Normal 14 6 3 3" xfId="31324"/>
    <cellStyle name="Normal 14 6 4" xfId="7003"/>
    <cellStyle name="Normal 14 6 4 2" xfId="13684"/>
    <cellStyle name="Normal 14 6 4 2 2" xfId="27233"/>
    <cellStyle name="Normal 14 6 4 3" xfId="31325"/>
    <cellStyle name="Normal 14 6 5" xfId="7004"/>
    <cellStyle name="Normal 14 6 5 2" xfId="14265"/>
    <cellStyle name="Normal 14 6 5 2 2" xfId="27814"/>
    <cellStyle name="Normal 14 6 5 3" xfId="31326"/>
    <cellStyle name="Normal 14 6 6" xfId="7005"/>
    <cellStyle name="Normal 14 6 6 2" xfId="16151"/>
    <cellStyle name="Normal 14 6 6 2 2" xfId="29558"/>
    <cellStyle name="Normal 14 6 6 3" xfId="31327"/>
    <cellStyle name="Normal 14 6 7" xfId="10135"/>
    <cellStyle name="Normal 14 6 7 2" xfId="24363"/>
    <cellStyle name="Normal 14 6 8" xfId="31321"/>
    <cellStyle name="Normal 14 7" xfId="7006"/>
    <cellStyle name="Normal 14 7 2" xfId="7007"/>
    <cellStyle name="Normal 14 7 2 2" xfId="17038"/>
    <cellStyle name="Normal 14 7 2 2 2" xfId="30441"/>
    <cellStyle name="Normal 14 7 2 3" xfId="31329"/>
    <cellStyle name="Normal 14 7 3" xfId="10136"/>
    <cellStyle name="Normal 14 7 4" xfId="31328"/>
    <cellStyle name="Normal 14 8" xfId="7008"/>
    <cellStyle name="Normal 14 8 2" xfId="7009"/>
    <cellStyle name="Normal 14 8 2 2" xfId="13243"/>
    <cellStyle name="Normal 14 8 2 3" xfId="31331"/>
    <cellStyle name="Normal 14 8 3" xfId="7010"/>
    <cellStyle name="Normal 14 8 3 2" xfId="17113"/>
    <cellStyle name="Normal 14 8 3 2 2" xfId="30472"/>
    <cellStyle name="Normal 14 8 3 3" xfId="31332"/>
    <cellStyle name="Normal 14 8 4" xfId="11828"/>
    <cellStyle name="Normal 14 8 4 2" xfId="25543"/>
    <cellStyle name="Normal 14 8 5" xfId="31330"/>
    <cellStyle name="Normal 14 9" xfId="7011"/>
    <cellStyle name="Normal 14 9 2" xfId="7012"/>
    <cellStyle name="Normal 14 9 2 2" xfId="17202"/>
    <cellStyle name="Normal 14 9 2 2 2" xfId="30561"/>
    <cellStyle name="Normal 14 9 2 3" xfId="31334"/>
    <cellStyle name="Normal 14 9 3" xfId="13429"/>
    <cellStyle name="Normal 14 9 3 2" xfId="26978"/>
    <cellStyle name="Normal 14 9 4" xfId="31333"/>
    <cellStyle name="Normal 15" xfId="7013"/>
    <cellStyle name="Normal 15 10" xfId="7014"/>
    <cellStyle name="Normal 15 10 2" xfId="7015"/>
    <cellStyle name="Normal 15 10 2 2" xfId="17293"/>
    <cellStyle name="Normal 15 10 2 2 2" xfId="30652"/>
    <cellStyle name="Normal 15 10 2 3" xfId="31336"/>
    <cellStyle name="Normal 15 10 3" xfId="13431"/>
    <cellStyle name="Normal 15 10 3 2" xfId="26980"/>
    <cellStyle name="Normal 15 10 4" xfId="31335"/>
    <cellStyle name="Normal 15 11" xfId="7016"/>
    <cellStyle name="Normal 15 11 2" xfId="7017"/>
    <cellStyle name="Normal 15 11 2 2" xfId="16479"/>
    <cellStyle name="Normal 15 11 2 2 2" xfId="29886"/>
    <cellStyle name="Normal 15 11 2 3" xfId="31338"/>
    <cellStyle name="Normal 15 11 3" xfId="14012"/>
    <cellStyle name="Normal 15 11 3 2" xfId="27561"/>
    <cellStyle name="Normal 15 11 4" xfId="31337"/>
    <cellStyle name="Normal 15 12" xfId="7018"/>
    <cellStyle name="Normal 15 12 2" xfId="15898"/>
    <cellStyle name="Normal 15 12 2 2" xfId="29305"/>
    <cellStyle name="Normal 15 12 3" xfId="31339"/>
    <cellStyle name="Normal 15 13" xfId="10137"/>
    <cellStyle name="Normal 15 14" xfId="33043"/>
    <cellStyle name="Normal 15 2" xfId="7019"/>
    <cellStyle name="Normal 15 2 10" xfId="10138"/>
    <cellStyle name="Normal 15 2 10 2" xfId="24364"/>
    <cellStyle name="Normal 15 2 2" xfId="7020"/>
    <cellStyle name="Normal 15 2 2 10" xfId="31340"/>
    <cellStyle name="Normal 15 2 2 2" xfId="7021"/>
    <cellStyle name="Normal 15 2 2 2 2" xfId="7022"/>
    <cellStyle name="Normal 15 2 2 2 2 2" xfId="7023"/>
    <cellStyle name="Normal 15 2 2 2 2 2 2" xfId="7024"/>
    <cellStyle name="Normal 15 2 2 2 2 2 2 2" xfId="16980"/>
    <cellStyle name="Normal 15 2 2 2 2 2 2 2 2" xfId="30387"/>
    <cellStyle name="Normal 15 2 2 2 2 2 2 3" xfId="31344"/>
    <cellStyle name="Normal 15 2 2 2 2 2 3" xfId="11518"/>
    <cellStyle name="Normal 15 2 2 2 2 2 3 2" xfId="25350"/>
    <cellStyle name="Normal 15 2 2 2 2 2 4" xfId="31343"/>
    <cellStyle name="Normal 15 2 2 2 2 3" xfId="7025"/>
    <cellStyle name="Normal 15 2 2 2 2 3 2" xfId="12368"/>
    <cellStyle name="Normal 15 2 2 2 2 3 2 2" xfId="26080"/>
    <cellStyle name="Normal 15 2 2 2 2 3 3" xfId="31345"/>
    <cellStyle name="Normal 15 2 2 2 2 4" xfId="7026"/>
    <cellStyle name="Normal 15 2 2 2 2 4 2" xfId="13932"/>
    <cellStyle name="Normal 15 2 2 2 2 4 2 2" xfId="27481"/>
    <cellStyle name="Normal 15 2 2 2 2 4 3" xfId="31346"/>
    <cellStyle name="Normal 15 2 2 2 2 5" xfId="7027"/>
    <cellStyle name="Normal 15 2 2 2 2 5 2" xfId="14513"/>
    <cellStyle name="Normal 15 2 2 2 2 5 2 2" xfId="28062"/>
    <cellStyle name="Normal 15 2 2 2 2 5 3" xfId="31347"/>
    <cellStyle name="Normal 15 2 2 2 2 6" xfId="7028"/>
    <cellStyle name="Normal 15 2 2 2 2 6 2" xfId="16399"/>
    <cellStyle name="Normal 15 2 2 2 2 6 2 2" xfId="29806"/>
    <cellStyle name="Normal 15 2 2 2 2 6 3" xfId="31348"/>
    <cellStyle name="Normal 15 2 2 2 2 7" xfId="10141"/>
    <cellStyle name="Normal 15 2 2 2 2 7 2" xfId="24367"/>
    <cellStyle name="Normal 15 2 2 2 2 8" xfId="31342"/>
    <cellStyle name="Normal 15 2 2 2 3" xfId="7029"/>
    <cellStyle name="Normal 15 2 2 2 3 2" xfId="7030"/>
    <cellStyle name="Normal 15 2 2 2 3 2 2" xfId="16691"/>
    <cellStyle name="Normal 15 2 2 2 3 2 2 2" xfId="30098"/>
    <cellStyle name="Normal 15 2 2 2 3 2 3" xfId="31350"/>
    <cellStyle name="Normal 15 2 2 2 3 3" xfId="11517"/>
    <cellStyle name="Normal 15 2 2 2 3 3 2" xfId="25349"/>
    <cellStyle name="Normal 15 2 2 2 3 4" xfId="31349"/>
    <cellStyle name="Normal 15 2 2 2 4" xfId="7031"/>
    <cellStyle name="Normal 15 2 2 2 4 2" xfId="12068"/>
    <cellStyle name="Normal 15 2 2 2 4 2 2" xfId="25783"/>
    <cellStyle name="Normal 15 2 2 2 4 3" xfId="31351"/>
    <cellStyle name="Normal 15 2 2 2 5" xfId="7032"/>
    <cellStyle name="Normal 15 2 2 2 5 2" xfId="13643"/>
    <cellStyle name="Normal 15 2 2 2 5 2 2" xfId="27192"/>
    <cellStyle name="Normal 15 2 2 2 5 3" xfId="31352"/>
    <cellStyle name="Normal 15 2 2 2 6" xfId="7033"/>
    <cellStyle name="Normal 15 2 2 2 6 2" xfId="14224"/>
    <cellStyle name="Normal 15 2 2 2 6 2 2" xfId="27773"/>
    <cellStyle name="Normal 15 2 2 2 6 3" xfId="31353"/>
    <cellStyle name="Normal 15 2 2 2 7" xfId="7034"/>
    <cellStyle name="Normal 15 2 2 2 7 2" xfId="16110"/>
    <cellStyle name="Normal 15 2 2 2 7 2 2" xfId="29517"/>
    <cellStyle name="Normal 15 2 2 2 7 3" xfId="31354"/>
    <cellStyle name="Normal 15 2 2 2 8" xfId="10140"/>
    <cellStyle name="Normal 15 2 2 2 8 2" xfId="24366"/>
    <cellStyle name="Normal 15 2 2 2 9" xfId="31341"/>
    <cellStyle name="Normal 15 2 2 3" xfId="7035"/>
    <cellStyle name="Normal 15 2 2 3 2" xfId="7036"/>
    <cellStyle name="Normal 15 2 2 3 2 2" xfId="7037"/>
    <cellStyle name="Normal 15 2 2 3 2 2 2" xfId="16837"/>
    <cellStyle name="Normal 15 2 2 3 2 2 2 2" xfId="30244"/>
    <cellStyle name="Normal 15 2 2 3 2 2 3" xfId="31357"/>
    <cellStyle name="Normal 15 2 2 3 2 3" xfId="11519"/>
    <cellStyle name="Normal 15 2 2 3 2 3 2" xfId="25351"/>
    <cellStyle name="Normal 15 2 2 3 2 4" xfId="31356"/>
    <cellStyle name="Normal 15 2 2 3 3" xfId="7038"/>
    <cellStyle name="Normal 15 2 2 3 3 2" xfId="12225"/>
    <cellStyle name="Normal 15 2 2 3 3 2 2" xfId="25937"/>
    <cellStyle name="Normal 15 2 2 3 3 3" xfId="31358"/>
    <cellStyle name="Normal 15 2 2 3 4" xfId="7039"/>
    <cellStyle name="Normal 15 2 2 3 4 2" xfId="13789"/>
    <cellStyle name="Normal 15 2 2 3 4 2 2" xfId="27338"/>
    <cellStyle name="Normal 15 2 2 3 4 3" xfId="31359"/>
    <cellStyle name="Normal 15 2 2 3 5" xfId="7040"/>
    <cellStyle name="Normal 15 2 2 3 5 2" xfId="14370"/>
    <cellStyle name="Normal 15 2 2 3 5 2 2" xfId="27919"/>
    <cellStyle name="Normal 15 2 2 3 5 3" xfId="31360"/>
    <cellStyle name="Normal 15 2 2 3 6" xfId="7041"/>
    <cellStyle name="Normal 15 2 2 3 6 2" xfId="16256"/>
    <cellStyle name="Normal 15 2 2 3 6 2 2" xfId="29663"/>
    <cellStyle name="Normal 15 2 2 3 6 3" xfId="31361"/>
    <cellStyle name="Normal 15 2 2 3 7" xfId="10142"/>
    <cellStyle name="Normal 15 2 2 3 7 2" xfId="24368"/>
    <cellStyle name="Normal 15 2 2 3 8" xfId="31355"/>
    <cellStyle name="Normal 15 2 2 4" xfId="7042"/>
    <cellStyle name="Normal 15 2 2 4 2" xfId="7043"/>
    <cellStyle name="Normal 15 2 2 4 2 2" xfId="17184"/>
    <cellStyle name="Normal 15 2 2 4 2 2 2" xfId="30543"/>
    <cellStyle name="Normal 15 2 2 4 2 3" xfId="31363"/>
    <cellStyle name="Normal 15 2 2 4 3" xfId="11516"/>
    <cellStyle name="Normal 15 2 2 4 3 2" xfId="25348"/>
    <cellStyle name="Normal 15 2 2 4 4" xfId="31362"/>
    <cellStyle name="Normal 15 2 2 5" xfId="7044"/>
    <cellStyle name="Normal 15 2 2 5 2" xfId="7045"/>
    <cellStyle name="Normal 15 2 2 5 2 2" xfId="17273"/>
    <cellStyle name="Normal 15 2 2 5 2 2 2" xfId="30632"/>
    <cellStyle name="Normal 15 2 2 5 2 3" xfId="31365"/>
    <cellStyle name="Normal 15 2 2 5 3" xfId="11923"/>
    <cellStyle name="Normal 15 2 2 5 3 2" xfId="25638"/>
    <cellStyle name="Normal 15 2 2 5 4" xfId="31364"/>
    <cellStyle name="Normal 15 2 2 6" xfId="7046"/>
    <cellStyle name="Normal 15 2 2 6 2" xfId="7047"/>
    <cellStyle name="Normal 15 2 2 6 2 2" xfId="16548"/>
    <cellStyle name="Normal 15 2 2 6 2 2 2" xfId="29955"/>
    <cellStyle name="Normal 15 2 2 6 2 3" xfId="31367"/>
    <cellStyle name="Normal 15 2 2 6 3" xfId="13500"/>
    <cellStyle name="Normal 15 2 2 6 3 2" xfId="27049"/>
    <cellStyle name="Normal 15 2 2 6 4" xfId="31366"/>
    <cellStyle name="Normal 15 2 2 7" xfId="7048"/>
    <cellStyle name="Normal 15 2 2 7 2" xfId="14081"/>
    <cellStyle name="Normal 15 2 2 7 2 2" xfId="27630"/>
    <cellStyle name="Normal 15 2 2 7 3" xfId="31368"/>
    <cellStyle name="Normal 15 2 2 8" xfId="7049"/>
    <cellStyle name="Normal 15 2 2 8 2" xfId="15967"/>
    <cellStyle name="Normal 15 2 2 8 2 2" xfId="29374"/>
    <cellStyle name="Normal 15 2 2 8 3" xfId="31369"/>
    <cellStyle name="Normal 15 2 2 9" xfId="10139"/>
    <cellStyle name="Normal 15 2 2 9 2" xfId="24365"/>
    <cellStyle name="Normal 15 2 3" xfId="7050"/>
    <cellStyle name="Normal 15 2 3 2" xfId="7051"/>
    <cellStyle name="Normal 15 2 3 2 2" xfId="7052"/>
    <cellStyle name="Normal 15 2 3 2 2 2" xfId="7053"/>
    <cellStyle name="Normal 15 2 3 2 2 2 2" xfId="16934"/>
    <cellStyle name="Normal 15 2 3 2 2 2 2 2" xfId="30341"/>
    <cellStyle name="Normal 15 2 3 2 2 2 3" xfId="31373"/>
    <cellStyle name="Normal 15 2 3 2 2 3" xfId="11521"/>
    <cellStyle name="Normal 15 2 3 2 2 3 2" xfId="25353"/>
    <cellStyle name="Normal 15 2 3 2 2 4" xfId="31372"/>
    <cellStyle name="Normal 15 2 3 2 3" xfId="7054"/>
    <cellStyle name="Normal 15 2 3 2 3 2" xfId="12322"/>
    <cellStyle name="Normal 15 2 3 2 3 2 2" xfId="26034"/>
    <cellStyle name="Normal 15 2 3 2 3 3" xfId="31374"/>
    <cellStyle name="Normal 15 2 3 2 4" xfId="7055"/>
    <cellStyle name="Normal 15 2 3 2 4 2" xfId="13886"/>
    <cellStyle name="Normal 15 2 3 2 4 2 2" xfId="27435"/>
    <cellStyle name="Normal 15 2 3 2 4 3" xfId="31375"/>
    <cellStyle name="Normal 15 2 3 2 5" xfId="7056"/>
    <cellStyle name="Normal 15 2 3 2 5 2" xfId="14467"/>
    <cellStyle name="Normal 15 2 3 2 5 2 2" xfId="28016"/>
    <cellStyle name="Normal 15 2 3 2 5 3" xfId="31376"/>
    <cellStyle name="Normal 15 2 3 2 6" xfId="7057"/>
    <cellStyle name="Normal 15 2 3 2 6 2" xfId="16353"/>
    <cellStyle name="Normal 15 2 3 2 6 2 2" xfId="29760"/>
    <cellStyle name="Normal 15 2 3 2 6 3" xfId="31377"/>
    <cellStyle name="Normal 15 2 3 2 7" xfId="10144"/>
    <cellStyle name="Normal 15 2 3 2 7 2" xfId="24370"/>
    <cellStyle name="Normal 15 2 3 2 8" xfId="31371"/>
    <cellStyle name="Normal 15 2 3 3" xfId="7058"/>
    <cellStyle name="Normal 15 2 3 3 2" xfId="7059"/>
    <cellStyle name="Normal 15 2 3 3 2 2" xfId="16645"/>
    <cellStyle name="Normal 15 2 3 3 2 2 2" xfId="30052"/>
    <cellStyle name="Normal 15 2 3 3 2 3" xfId="31379"/>
    <cellStyle name="Normal 15 2 3 3 3" xfId="11520"/>
    <cellStyle name="Normal 15 2 3 3 3 2" xfId="25352"/>
    <cellStyle name="Normal 15 2 3 3 4" xfId="31378"/>
    <cellStyle name="Normal 15 2 3 4" xfId="7060"/>
    <cellStyle name="Normal 15 2 3 4 2" xfId="12022"/>
    <cellStyle name="Normal 15 2 3 4 2 2" xfId="25737"/>
    <cellStyle name="Normal 15 2 3 4 3" xfId="31380"/>
    <cellStyle name="Normal 15 2 3 5" xfId="7061"/>
    <cellStyle name="Normal 15 2 3 5 2" xfId="13597"/>
    <cellStyle name="Normal 15 2 3 5 2 2" xfId="27146"/>
    <cellStyle name="Normal 15 2 3 5 3" xfId="31381"/>
    <cellStyle name="Normal 15 2 3 6" xfId="7062"/>
    <cellStyle name="Normal 15 2 3 6 2" xfId="14178"/>
    <cellStyle name="Normal 15 2 3 6 2 2" xfId="27727"/>
    <cellStyle name="Normal 15 2 3 6 3" xfId="31382"/>
    <cellStyle name="Normal 15 2 3 7" xfId="7063"/>
    <cellStyle name="Normal 15 2 3 7 2" xfId="16064"/>
    <cellStyle name="Normal 15 2 3 7 2 2" xfId="29471"/>
    <cellStyle name="Normal 15 2 3 7 3" xfId="31383"/>
    <cellStyle name="Normal 15 2 3 8" xfId="10143"/>
    <cellStyle name="Normal 15 2 3 8 2" xfId="24369"/>
    <cellStyle name="Normal 15 2 3 9" xfId="31370"/>
    <cellStyle name="Normal 15 2 4" xfId="7064"/>
    <cellStyle name="Normal 15 2 4 2" xfId="7065"/>
    <cellStyle name="Normal 15 2 4 2 2" xfId="7066"/>
    <cellStyle name="Normal 15 2 4 2 2 2" xfId="16791"/>
    <cellStyle name="Normal 15 2 4 2 2 2 2" xfId="30198"/>
    <cellStyle name="Normal 15 2 4 2 2 3" xfId="31386"/>
    <cellStyle name="Normal 15 2 4 2 3" xfId="11522"/>
    <cellStyle name="Normal 15 2 4 2 3 2" xfId="25354"/>
    <cellStyle name="Normal 15 2 4 2 4" xfId="31385"/>
    <cellStyle name="Normal 15 2 4 3" xfId="7067"/>
    <cellStyle name="Normal 15 2 4 3 2" xfId="12179"/>
    <cellStyle name="Normal 15 2 4 3 2 2" xfId="25891"/>
    <cellStyle name="Normal 15 2 4 3 3" xfId="31387"/>
    <cellStyle name="Normal 15 2 4 4" xfId="7068"/>
    <cellStyle name="Normal 15 2 4 4 2" xfId="13743"/>
    <cellStyle name="Normal 15 2 4 4 2 2" xfId="27292"/>
    <cellStyle name="Normal 15 2 4 4 3" xfId="31388"/>
    <cellStyle name="Normal 15 2 4 5" xfId="7069"/>
    <cellStyle name="Normal 15 2 4 5 2" xfId="14324"/>
    <cellStyle name="Normal 15 2 4 5 2 2" xfId="27873"/>
    <cellStyle name="Normal 15 2 4 5 3" xfId="31389"/>
    <cellStyle name="Normal 15 2 4 6" xfId="7070"/>
    <cellStyle name="Normal 15 2 4 6 2" xfId="16210"/>
    <cellStyle name="Normal 15 2 4 6 2 2" xfId="29617"/>
    <cellStyle name="Normal 15 2 4 6 3" xfId="31390"/>
    <cellStyle name="Normal 15 2 4 7" xfId="10145"/>
    <cellStyle name="Normal 15 2 4 7 2" xfId="24371"/>
    <cellStyle name="Normal 15 2 4 8" xfId="31384"/>
    <cellStyle name="Normal 15 2 5" xfId="7071"/>
    <cellStyle name="Normal 15 2 5 2" xfId="7072"/>
    <cellStyle name="Normal 15 2 5 2 2" xfId="17039"/>
    <cellStyle name="Normal 15 2 5 3" xfId="11515"/>
    <cellStyle name="Normal 15 2 5 3 2" xfId="25347"/>
    <cellStyle name="Normal 15 2 6" xfId="7073"/>
    <cellStyle name="Normal 15 2 6 2" xfId="7074"/>
    <cellStyle name="Normal 15 2 6 2 2" xfId="17138"/>
    <cellStyle name="Normal 15 2 6 2 2 2" xfId="30497"/>
    <cellStyle name="Normal 15 2 6 2 3" xfId="31392"/>
    <cellStyle name="Normal 15 2 6 3" xfId="11867"/>
    <cellStyle name="Normal 15 2 6 3 2" xfId="25582"/>
    <cellStyle name="Normal 15 2 6 4" xfId="31391"/>
    <cellStyle name="Normal 15 2 7" xfId="7075"/>
    <cellStyle name="Normal 15 2 7 2" xfId="7076"/>
    <cellStyle name="Normal 15 2 7 2 2" xfId="17227"/>
    <cellStyle name="Normal 15 2 7 2 2 2" xfId="30586"/>
    <cellStyle name="Normal 15 2 7 2 3" xfId="31394"/>
    <cellStyle name="Normal 15 2 7 3" xfId="13454"/>
    <cellStyle name="Normal 15 2 7 3 2" xfId="27003"/>
    <cellStyle name="Normal 15 2 7 4" xfId="31393"/>
    <cellStyle name="Normal 15 2 8" xfId="7077"/>
    <cellStyle name="Normal 15 2 8 2" xfId="7078"/>
    <cellStyle name="Normal 15 2 8 2 2" xfId="16502"/>
    <cellStyle name="Normal 15 2 8 2 2 2" xfId="29909"/>
    <cellStyle name="Normal 15 2 8 2 3" xfId="31396"/>
    <cellStyle name="Normal 15 2 8 3" xfId="14035"/>
    <cellStyle name="Normal 15 2 8 3 2" xfId="27584"/>
    <cellStyle name="Normal 15 2 8 4" xfId="31395"/>
    <cellStyle name="Normal 15 2 9" xfId="7079"/>
    <cellStyle name="Normal 15 2 9 2" xfId="15921"/>
    <cellStyle name="Normal 15 2 9 2 2" xfId="29328"/>
    <cellStyle name="Normal 15 2 9 3" xfId="31397"/>
    <cellStyle name="Normal 15 3" xfId="7080"/>
    <cellStyle name="Normal 15 3 2" xfId="7081"/>
    <cellStyle name="Normal 15 3 2 2" xfId="10147"/>
    <cellStyle name="Normal 15 3 3" xfId="10146"/>
    <cellStyle name="Normal 15 4" xfId="7082"/>
    <cellStyle name="Normal 15 4 10" xfId="31398"/>
    <cellStyle name="Normal 15 4 2" xfId="7083"/>
    <cellStyle name="Normal 15 4 2 2" xfId="7084"/>
    <cellStyle name="Normal 15 4 2 2 2" xfId="7085"/>
    <cellStyle name="Normal 15 4 2 2 2 2" xfId="7086"/>
    <cellStyle name="Normal 15 4 2 2 2 2 2" xfId="16957"/>
    <cellStyle name="Normal 15 4 2 2 2 2 2 2" xfId="30364"/>
    <cellStyle name="Normal 15 4 2 2 2 2 3" xfId="31402"/>
    <cellStyle name="Normal 15 4 2 2 2 3" xfId="11525"/>
    <cellStyle name="Normal 15 4 2 2 2 3 2" xfId="25357"/>
    <cellStyle name="Normal 15 4 2 2 2 4" xfId="31401"/>
    <cellStyle name="Normal 15 4 2 2 3" xfId="7087"/>
    <cellStyle name="Normal 15 4 2 2 3 2" xfId="12345"/>
    <cellStyle name="Normal 15 4 2 2 3 2 2" xfId="26057"/>
    <cellStyle name="Normal 15 4 2 2 3 3" xfId="31403"/>
    <cellStyle name="Normal 15 4 2 2 4" xfId="7088"/>
    <cellStyle name="Normal 15 4 2 2 4 2" xfId="13909"/>
    <cellStyle name="Normal 15 4 2 2 4 2 2" xfId="27458"/>
    <cellStyle name="Normal 15 4 2 2 4 3" xfId="31404"/>
    <cellStyle name="Normal 15 4 2 2 5" xfId="7089"/>
    <cellStyle name="Normal 15 4 2 2 5 2" xfId="14490"/>
    <cellStyle name="Normal 15 4 2 2 5 2 2" xfId="28039"/>
    <cellStyle name="Normal 15 4 2 2 5 3" xfId="31405"/>
    <cellStyle name="Normal 15 4 2 2 6" xfId="7090"/>
    <cellStyle name="Normal 15 4 2 2 6 2" xfId="16376"/>
    <cellStyle name="Normal 15 4 2 2 6 2 2" xfId="29783"/>
    <cellStyle name="Normal 15 4 2 2 6 3" xfId="31406"/>
    <cellStyle name="Normal 15 4 2 2 7" xfId="10150"/>
    <cellStyle name="Normal 15 4 2 2 7 2" xfId="24374"/>
    <cellStyle name="Normal 15 4 2 2 8" xfId="31400"/>
    <cellStyle name="Normal 15 4 2 3" xfId="7091"/>
    <cellStyle name="Normal 15 4 2 3 2" xfId="7092"/>
    <cellStyle name="Normal 15 4 2 3 2 2" xfId="16668"/>
    <cellStyle name="Normal 15 4 2 3 2 2 2" xfId="30075"/>
    <cellStyle name="Normal 15 4 2 3 2 3" xfId="31408"/>
    <cellStyle name="Normal 15 4 2 3 3" xfId="11524"/>
    <cellStyle name="Normal 15 4 2 3 3 2" xfId="25356"/>
    <cellStyle name="Normal 15 4 2 3 4" xfId="31407"/>
    <cellStyle name="Normal 15 4 2 4" xfId="7093"/>
    <cellStyle name="Normal 15 4 2 4 2" xfId="12045"/>
    <cellStyle name="Normal 15 4 2 4 2 2" xfId="25760"/>
    <cellStyle name="Normal 15 4 2 4 3" xfId="31409"/>
    <cellStyle name="Normal 15 4 2 5" xfId="7094"/>
    <cellStyle name="Normal 15 4 2 5 2" xfId="13620"/>
    <cellStyle name="Normal 15 4 2 5 2 2" xfId="27169"/>
    <cellStyle name="Normal 15 4 2 5 3" xfId="31410"/>
    <cellStyle name="Normal 15 4 2 6" xfId="7095"/>
    <cellStyle name="Normal 15 4 2 6 2" xfId="14201"/>
    <cellStyle name="Normal 15 4 2 6 2 2" xfId="27750"/>
    <cellStyle name="Normal 15 4 2 6 3" xfId="31411"/>
    <cellStyle name="Normal 15 4 2 7" xfId="7096"/>
    <cellStyle name="Normal 15 4 2 7 2" xfId="16087"/>
    <cellStyle name="Normal 15 4 2 7 2 2" xfId="29494"/>
    <cellStyle name="Normal 15 4 2 7 3" xfId="31412"/>
    <cellStyle name="Normal 15 4 2 8" xfId="10149"/>
    <cellStyle name="Normal 15 4 2 8 2" xfId="24373"/>
    <cellStyle name="Normal 15 4 2 9" xfId="31399"/>
    <cellStyle name="Normal 15 4 3" xfId="7097"/>
    <cellStyle name="Normal 15 4 3 2" xfId="7098"/>
    <cellStyle name="Normal 15 4 3 2 2" xfId="7099"/>
    <cellStyle name="Normal 15 4 3 2 2 2" xfId="16814"/>
    <cellStyle name="Normal 15 4 3 2 2 2 2" xfId="30221"/>
    <cellStyle name="Normal 15 4 3 2 2 3" xfId="31415"/>
    <cellStyle name="Normal 15 4 3 2 3" xfId="11526"/>
    <cellStyle name="Normal 15 4 3 2 3 2" xfId="25358"/>
    <cellStyle name="Normal 15 4 3 2 4" xfId="31414"/>
    <cellStyle name="Normal 15 4 3 3" xfId="7100"/>
    <cellStyle name="Normal 15 4 3 3 2" xfId="12202"/>
    <cellStyle name="Normal 15 4 3 3 2 2" xfId="25914"/>
    <cellStyle name="Normal 15 4 3 3 3" xfId="31416"/>
    <cellStyle name="Normal 15 4 3 4" xfId="7101"/>
    <cellStyle name="Normal 15 4 3 4 2" xfId="13766"/>
    <cellStyle name="Normal 15 4 3 4 2 2" xfId="27315"/>
    <cellStyle name="Normal 15 4 3 4 3" xfId="31417"/>
    <cellStyle name="Normal 15 4 3 5" xfId="7102"/>
    <cellStyle name="Normal 15 4 3 5 2" xfId="14347"/>
    <cellStyle name="Normal 15 4 3 5 2 2" xfId="27896"/>
    <cellStyle name="Normal 15 4 3 5 3" xfId="31418"/>
    <cellStyle name="Normal 15 4 3 6" xfId="7103"/>
    <cellStyle name="Normal 15 4 3 6 2" xfId="16233"/>
    <cellStyle name="Normal 15 4 3 6 2 2" xfId="29640"/>
    <cellStyle name="Normal 15 4 3 6 3" xfId="31419"/>
    <cellStyle name="Normal 15 4 3 7" xfId="10151"/>
    <cellStyle name="Normal 15 4 3 7 2" xfId="24375"/>
    <cellStyle name="Normal 15 4 3 8" xfId="31413"/>
    <cellStyle name="Normal 15 4 4" xfId="7104"/>
    <cellStyle name="Normal 15 4 4 2" xfId="7105"/>
    <cellStyle name="Normal 15 4 4 2 2" xfId="17161"/>
    <cellStyle name="Normal 15 4 4 2 2 2" xfId="30520"/>
    <cellStyle name="Normal 15 4 4 2 3" xfId="31421"/>
    <cellStyle name="Normal 15 4 4 3" xfId="11523"/>
    <cellStyle name="Normal 15 4 4 3 2" xfId="25355"/>
    <cellStyle name="Normal 15 4 4 4" xfId="31420"/>
    <cellStyle name="Normal 15 4 5" xfId="7106"/>
    <cellStyle name="Normal 15 4 5 2" xfId="7107"/>
    <cellStyle name="Normal 15 4 5 2 2" xfId="17250"/>
    <cellStyle name="Normal 15 4 5 2 2 2" xfId="30609"/>
    <cellStyle name="Normal 15 4 5 2 3" xfId="31423"/>
    <cellStyle name="Normal 15 4 5 3" xfId="11900"/>
    <cellStyle name="Normal 15 4 5 3 2" xfId="25615"/>
    <cellStyle name="Normal 15 4 5 4" xfId="31422"/>
    <cellStyle name="Normal 15 4 6" xfId="7108"/>
    <cellStyle name="Normal 15 4 6 2" xfId="7109"/>
    <cellStyle name="Normal 15 4 6 2 2" xfId="16525"/>
    <cellStyle name="Normal 15 4 6 2 2 2" xfId="29932"/>
    <cellStyle name="Normal 15 4 6 2 3" xfId="31425"/>
    <cellStyle name="Normal 15 4 6 3" xfId="13477"/>
    <cellStyle name="Normal 15 4 6 3 2" xfId="27026"/>
    <cellStyle name="Normal 15 4 6 4" xfId="31424"/>
    <cellStyle name="Normal 15 4 7" xfId="7110"/>
    <cellStyle name="Normal 15 4 7 2" xfId="14058"/>
    <cellStyle name="Normal 15 4 7 2 2" xfId="27607"/>
    <cellStyle name="Normal 15 4 7 3" xfId="31426"/>
    <cellStyle name="Normal 15 4 8" xfId="7111"/>
    <cellStyle name="Normal 15 4 8 2" xfId="15944"/>
    <cellStyle name="Normal 15 4 8 2 2" xfId="29351"/>
    <cellStyle name="Normal 15 4 8 3" xfId="31427"/>
    <cellStyle name="Normal 15 4 9" xfId="10148"/>
    <cellStyle name="Normal 15 4 9 2" xfId="24372"/>
    <cellStyle name="Normal 15 5" xfId="7112"/>
    <cellStyle name="Normal 15 5 10" xfId="31428"/>
    <cellStyle name="Normal 15 5 2" xfId="7113"/>
    <cellStyle name="Normal 15 5 2 2" xfId="7114"/>
    <cellStyle name="Normal 15 5 2 2 2" xfId="7115"/>
    <cellStyle name="Normal 15 5 2 2 2 2" xfId="7116"/>
    <cellStyle name="Normal 15 5 2 2 2 2 2" xfId="17000"/>
    <cellStyle name="Normal 15 5 2 2 2 2 2 2" xfId="30407"/>
    <cellStyle name="Normal 15 5 2 2 2 2 3" xfId="31432"/>
    <cellStyle name="Normal 15 5 2 2 2 3" xfId="11529"/>
    <cellStyle name="Normal 15 5 2 2 2 3 2" xfId="25361"/>
    <cellStyle name="Normal 15 5 2 2 2 4" xfId="31431"/>
    <cellStyle name="Normal 15 5 2 2 3" xfId="7117"/>
    <cellStyle name="Normal 15 5 2 2 3 2" xfId="12388"/>
    <cellStyle name="Normal 15 5 2 2 3 2 2" xfId="26100"/>
    <cellStyle name="Normal 15 5 2 2 3 3" xfId="31433"/>
    <cellStyle name="Normal 15 5 2 2 4" xfId="7118"/>
    <cellStyle name="Normal 15 5 2 2 4 2" xfId="13952"/>
    <cellStyle name="Normal 15 5 2 2 4 2 2" xfId="27501"/>
    <cellStyle name="Normal 15 5 2 2 4 3" xfId="31434"/>
    <cellStyle name="Normal 15 5 2 2 5" xfId="7119"/>
    <cellStyle name="Normal 15 5 2 2 5 2" xfId="14533"/>
    <cellStyle name="Normal 15 5 2 2 5 2 2" xfId="28082"/>
    <cellStyle name="Normal 15 5 2 2 5 3" xfId="31435"/>
    <cellStyle name="Normal 15 5 2 2 6" xfId="7120"/>
    <cellStyle name="Normal 15 5 2 2 6 2" xfId="16419"/>
    <cellStyle name="Normal 15 5 2 2 6 2 2" xfId="29826"/>
    <cellStyle name="Normal 15 5 2 2 6 3" xfId="31436"/>
    <cellStyle name="Normal 15 5 2 2 7" xfId="10154"/>
    <cellStyle name="Normal 15 5 2 2 7 2" xfId="24378"/>
    <cellStyle name="Normal 15 5 2 2 8" xfId="31430"/>
    <cellStyle name="Normal 15 5 2 3" xfId="7121"/>
    <cellStyle name="Normal 15 5 2 3 2" xfId="7122"/>
    <cellStyle name="Normal 15 5 2 3 2 2" xfId="16711"/>
    <cellStyle name="Normal 15 5 2 3 2 2 2" xfId="30118"/>
    <cellStyle name="Normal 15 5 2 3 2 3" xfId="31438"/>
    <cellStyle name="Normal 15 5 2 3 3" xfId="11528"/>
    <cellStyle name="Normal 15 5 2 3 3 2" xfId="25360"/>
    <cellStyle name="Normal 15 5 2 3 4" xfId="31437"/>
    <cellStyle name="Normal 15 5 2 4" xfId="7123"/>
    <cellStyle name="Normal 15 5 2 4 2" xfId="12088"/>
    <cellStyle name="Normal 15 5 2 4 2 2" xfId="25803"/>
    <cellStyle name="Normal 15 5 2 4 3" xfId="31439"/>
    <cellStyle name="Normal 15 5 2 5" xfId="7124"/>
    <cellStyle name="Normal 15 5 2 5 2" xfId="13663"/>
    <cellStyle name="Normal 15 5 2 5 2 2" xfId="27212"/>
    <cellStyle name="Normal 15 5 2 5 3" xfId="31440"/>
    <cellStyle name="Normal 15 5 2 6" xfId="7125"/>
    <cellStyle name="Normal 15 5 2 6 2" xfId="14244"/>
    <cellStyle name="Normal 15 5 2 6 2 2" xfId="27793"/>
    <cellStyle name="Normal 15 5 2 6 3" xfId="31441"/>
    <cellStyle name="Normal 15 5 2 7" xfId="7126"/>
    <cellStyle name="Normal 15 5 2 7 2" xfId="16130"/>
    <cellStyle name="Normal 15 5 2 7 2 2" xfId="29537"/>
    <cellStyle name="Normal 15 5 2 7 3" xfId="31442"/>
    <cellStyle name="Normal 15 5 2 8" xfId="10153"/>
    <cellStyle name="Normal 15 5 2 8 2" xfId="24377"/>
    <cellStyle name="Normal 15 5 2 9" xfId="31429"/>
    <cellStyle name="Normal 15 5 3" xfId="7127"/>
    <cellStyle name="Normal 15 5 3 2" xfId="7128"/>
    <cellStyle name="Normal 15 5 3 2 2" xfId="7129"/>
    <cellStyle name="Normal 15 5 3 2 2 2" xfId="16857"/>
    <cellStyle name="Normal 15 5 3 2 2 2 2" xfId="30264"/>
    <cellStyle name="Normal 15 5 3 2 2 3" xfId="31445"/>
    <cellStyle name="Normal 15 5 3 2 3" xfId="11530"/>
    <cellStyle name="Normal 15 5 3 2 3 2" xfId="25362"/>
    <cellStyle name="Normal 15 5 3 2 4" xfId="31444"/>
    <cellStyle name="Normal 15 5 3 3" xfId="7130"/>
    <cellStyle name="Normal 15 5 3 3 2" xfId="12245"/>
    <cellStyle name="Normal 15 5 3 3 2 2" xfId="25957"/>
    <cellStyle name="Normal 15 5 3 3 3" xfId="31446"/>
    <cellStyle name="Normal 15 5 3 4" xfId="7131"/>
    <cellStyle name="Normal 15 5 3 4 2" xfId="13809"/>
    <cellStyle name="Normal 15 5 3 4 2 2" xfId="27358"/>
    <cellStyle name="Normal 15 5 3 4 3" xfId="31447"/>
    <cellStyle name="Normal 15 5 3 5" xfId="7132"/>
    <cellStyle name="Normal 15 5 3 5 2" xfId="14390"/>
    <cellStyle name="Normal 15 5 3 5 2 2" xfId="27939"/>
    <cellStyle name="Normal 15 5 3 5 3" xfId="31448"/>
    <cellStyle name="Normal 15 5 3 6" xfId="7133"/>
    <cellStyle name="Normal 15 5 3 6 2" xfId="16276"/>
    <cellStyle name="Normal 15 5 3 6 2 2" xfId="29683"/>
    <cellStyle name="Normal 15 5 3 6 3" xfId="31449"/>
    <cellStyle name="Normal 15 5 3 7" xfId="10155"/>
    <cellStyle name="Normal 15 5 3 7 2" xfId="24379"/>
    <cellStyle name="Normal 15 5 3 8" xfId="31443"/>
    <cellStyle name="Normal 15 5 4" xfId="7134"/>
    <cellStyle name="Normal 15 5 4 2" xfId="7135"/>
    <cellStyle name="Normal 15 5 4 2 2" xfId="16568"/>
    <cellStyle name="Normal 15 5 4 2 2 2" xfId="29975"/>
    <cellStyle name="Normal 15 5 4 2 3" xfId="31451"/>
    <cellStyle name="Normal 15 5 4 3" xfId="11527"/>
    <cellStyle name="Normal 15 5 4 3 2" xfId="25359"/>
    <cellStyle name="Normal 15 5 4 4" xfId="31450"/>
    <cellStyle name="Normal 15 5 5" xfId="7136"/>
    <cellStyle name="Normal 15 5 5 2" xfId="11943"/>
    <cellStyle name="Normal 15 5 5 2 2" xfId="25658"/>
    <cellStyle name="Normal 15 5 5 3" xfId="31452"/>
    <cellStyle name="Normal 15 5 6" xfId="7137"/>
    <cellStyle name="Normal 15 5 6 2" xfId="13520"/>
    <cellStyle name="Normal 15 5 6 2 2" xfId="27069"/>
    <cellStyle name="Normal 15 5 6 3" xfId="31453"/>
    <cellStyle name="Normal 15 5 7" xfId="7138"/>
    <cellStyle name="Normal 15 5 7 2" xfId="14101"/>
    <cellStyle name="Normal 15 5 7 2 2" xfId="27650"/>
    <cellStyle name="Normal 15 5 7 3" xfId="31454"/>
    <cellStyle name="Normal 15 5 8" xfId="7139"/>
    <cellStyle name="Normal 15 5 8 2" xfId="15987"/>
    <cellStyle name="Normal 15 5 8 2 2" xfId="29394"/>
    <cellStyle name="Normal 15 5 8 3" xfId="31455"/>
    <cellStyle name="Normal 15 5 9" xfId="10152"/>
    <cellStyle name="Normal 15 5 9 2" xfId="24376"/>
    <cellStyle name="Normal 15 6" xfId="7140"/>
    <cellStyle name="Normal 15 6 2" xfId="7141"/>
    <cellStyle name="Normal 15 6 2 2" xfId="7142"/>
    <cellStyle name="Normal 15 6 2 2 2" xfId="7143"/>
    <cellStyle name="Normal 15 6 2 2 2 2" xfId="16911"/>
    <cellStyle name="Normal 15 6 2 2 2 2 2" xfId="30318"/>
    <cellStyle name="Normal 15 6 2 2 2 3" xfId="31459"/>
    <cellStyle name="Normal 15 6 2 2 3" xfId="11532"/>
    <cellStyle name="Normal 15 6 2 2 3 2" xfId="25364"/>
    <cellStyle name="Normal 15 6 2 2 4" xfId="31458"/>
    <cellStyle name="Normal 15 6 2 3" xfId="7144"/>
    <cellStyle name="Normal 15 6 2 3 2" xfId="12299"/>
    <cellStyle name="Normal 15 6 2 3 2 2" xfId="26011"/>
    <cellStyle name="Normal 15 6 2 3 3" xfId="31460"/>
    <cellStyle name="Normal 15 6 2 4" xfId="7145"/>
    <cellStyle name="Normal 15 6 2 4 2" xfId="13863"/>
    <cellStyle name="Normal 15 6 2 4 2 2" xfId="27412"/>
    <cellStyle name="Normal 15 6 2 4 3" xfId="31461"/>
    <cellStyle name="Normal 15 6 2 5" xfId="7146"/>
    <cellStyle name="Normal 15 6 2 5 2" xfId="14444"/>
    <cellStyle name="Normal 15 6 2 5 2 2" xfId="27993"/>
    <cellStyle name="Normal 15 6 2 5 3" xfId="31462"/>
    <cellStyle name="Normal 15 6 2 6" xfId="7147"/>
    <cellStyle name="Normal 15 6 2 6 2" xfId="16330"/>
    <cellStyle name="Normal 15 6 2 6 2 2" xfId="29737"/>
    <cellStyle name="Normal 15 6 2 6 3" xfId="31463"/>
    <cellStyle name="Normal 15 6 2 7" xfId="10157"/>
    <cellStyle name="Normal 15 6 2 7 2" xfId="24381"/>
    <cellStyle name="Normal 15 6 2 8" xfId="31457"/>
    <cellStyle name="Normal 15 6 3" xfId="7148"/>
    <cellStyle name="Normal 15 6 3 2" xfId="7149"/>
    <cellStyle name="Normal 15 6 3 2 2" xfId="16622"/>
    <cellStyle name="Normal 15 6 3 2 2 2" xfId="30029"/>
    <cellStyle name="Normal 15 6 3 2 3" xfId="31465"/>
    <cellStyle name="Normal 15 6 3 3" xfId="11531"/>
    <cellStyle name="Normal 15 6 3 3 2" xfId="25363"/>
    <cellStyle name="Normal 15 6 3 4" xfId="31464"/>
    <cellStyle name="Normal 15 6 4" xfId="7150"/>
    <cellStyle name="Normal 15 6 4 2" xfId="11999"/>
    <cellStyle name="Normal 15 6 4 2 2" xfId="25714"/>
    <cellStyle name="Normal 15 6 4 3" xfId="31466"/>
    <cellStyle name="Normal 15 6 5" xfId="7151"/>
    <cellStyle name="Normal 15 6 5 2" xfId="13574"/>
    <cellStyle name="Normal 15 6 5 2 2" xfId="27123"/>
    <cellStyle name="Normal 15 6 5 3" xfId="31467"/>
    <cellStyle name="Normal 15 6 6" xfId="7152"/>
    <cellStyle name="Normal 15 6 6 2" xfId="14155"/>
    <cellStyle name="Normal 15 6 6 2 2" xfId="27704"/>
    <cellStyle name="Normal 15 6 6 3" xfId="31468"/>
    <cellStyle name="Normal 15 6 7" xfId="7153"/>
    <cellStyle name="Normal 15 6 7 2" xfId="16041"/>
    <cellStyle name="Normal 15 6 7 2 2" xfId="29448"/>
    <cellStyle name="Normal 15 6 7 3" xfId="31469"/>
    <cellStyle name="Normal 15 6 8" xfId="10156"/>
    <cellStyle name="Normal 15 6 8 2" xfId="24380"/>
    <cellStyle name="Normal 15 6 9" xfId="31456"/>
    <cellStyle name="Normal 15 7" xfId="7154"/>
    <cellStyle name="Normal 15 7 2" xfId="7155"/>
    <cellStyle name="Normal 15 7 2 2" xfId="7156"/>
    <cellStyle name="Normal 15 7 2 2 2" xfId="16734"/>
    <cellStyle name="Normal 15 7 2 2 2 2" xfId="30141"/>
    <cellStyle name="Normal 15 7 2 2 3" xfId="31472"/>
    <cellStyle name="Normal 15 7 2 3" xfId="11533"/>
    <cellStyle name="Normal 15 7 2 3 2" xfId="25365"/>
    <cellStyle name="Normal 15 7 2 4" xfId="31471"/>
    <cellStyle name="Normal 15 7 3" xfId="7157"/>
    <cellStyle name="Normal 15 7 3 2" xfId="12122"/>
    <cellStyle name="Normal 15 7 3 2 2" xfId="25834"/>
    <cellStyle name="Normal 15 7 3 3" xfId="31473"/>
    <cellStyle name="Normal 15 7 4" xfId="7158"/>
    <cellStyle name="Normal 15 7 4 2" xfId="13686"/>
    <cellStyle name="Normal 15 7 4 2 2" xfId="27235"/>
    <cellStyle name="Normal 15 7 4 3" xfId="31474"/>
    <cellStyle name="Normal 15 7 5" xfId="7159"/>
    <cellStyle name="Normal 15 7 5 2" xfId="14267"/>
    <cellStyle name="Normal 15 7 5 2 2" xfId="27816"/>
    <cellStyle name="Normal 15 7 5 3" xfId="31475"/>
    <cellStyle name="Normal 15 7 6" xfId="7160"/>
    <cellStyle name="Normal 15 7 6 2" xfId="16153"/>
    <cellStyle name="Normal 15 7 6 2 2" xfId="29560"/>
    <cellStyle name="Normal 15 7 6 3" xfId="31476"/>
    <cellStyle name="Normal 15 7 7" xfId="10158"/>
    <cellStyle name="Normal 15 7 7 2" xfId="24382"/>
    <cellStyle name="Normal 15 7 8" xfId="31470"/>
    <cellStyle name="Normal 15 8" xfId="7161"/>
    <cellStyle name="Normal 15 8 2" xfId="7162"/>
    <cellStyle name="Normal 15 8 2 2" xfId="11534"/>
    <cellStyle name="Normal 15 8 2 2 2" xfId="25366"/>
    <cellStyle name="Normal 15 8 2 3" xfId="31478"/>
    <cellStyle name="Normal 15 8 3" xfId="7163"/>
    <cellStyle name="Normal 15 8 3 2" xfId="13244"/>
    <cellStyle name="Normal 15 8 3 2 2" xfId="26888"/>
    <cellStyle name="Normal 15 8 3 3" xfId="31479"/>
    <cellStyle name="Normal 15 8 4" xfId="7164"/>
    <cellStyle name="Normal 15 8 4 2" xfId="15694"/>
    <cellStyle name="Normal 15 8 4 2 2" xfId="29180"/>
    <cellStyle name="Normal 15 8 4 3" xfId="31480"/>
    <cellStyle name="Normal 15 8 5" xfId="7165"/>
    <cellStyle name="Normal 15 8 5 2" xfId="17115"/>
    <cellStyle name="Normal 15 8 5 2 2" xfId="30474"/>
    <cellStyle name="Normal 15 8 5 3" xfId="31481"/>
    <cellStyle name="Normal 15 8 6" xfId="10159"/>
    <cellStyle name="Normal 15 8 6 2" xfId="24383"/>
    <cellStyle name="Normal 15 8 7" xfId="31477"/>
    <cellStyle name="Normal 15 9" xfId="7166"/>
    <cellStyle name="Normal 15 9 2" xfId="7167"/>
    <cellStyle name="Normal 15 9 2 2" xfId="13245"/>
    <cellStyle name="Normal 15 9 2 3" xfId="31483"/>
    <cellStyle name="Normal 15 9 3" xfId="7168"/>
    <cellStyle name="Normal 15 9 3 2" xfId="17204"/>
    <cellStyle name="Normal 15 9 3 2 2" xfId="30563"/>
    <cellStyle name="Normal 15 9 3 3" xfId="31484"/>
    <cellStyle name="Normal 15 9 4" xfId="11830"/>
    <cellStyle name="Normal 15 9 4 2" xfId="25545"/>
    <cellStyle name="Normal 15 9 5" xfId="31482"/>
    <cellStyle name="Normal 16" xfId="7169"/>
    <cellStyle name="Normal 16 10" xfId="10160"/>
    <cellStyle name="Normal 16 10 2" xfId="24384"/>
    <cellStyle name="Normal 16 11" xfId="31485"/>
    <cellStyle name="Normal 16 2" xfId="7170"/>
    <cellStyle name="Normal 16 2 10" xfId="31486"/>
    <cellStyle name="Normal 16 2 2" xfId="7171"/>
    <cellStyle name="Normal 16 2 2 2" xfId="7172"/>
    <cellStyle name="Normal 16 2 2 2 2" xfId="7173"/>
    <cellStyle name="Normal 16 2 2 2 2 2" xfId="7174"/>
    <cellStyle name="Normal 16 2 2 2 2 2 2" xfId="16958"/>
    <cellStyle name="Normal 16 2 2 2 2 2 2 2" xfId="30365"/>
    <cellStyle name="Normal 16 2 2 2 2 2 3" xfId="31490"/>
    <cellStyle name="Normal 16 2 2 2 2 3" xfId="11538"/>
    <cellStyle name="Normal 16 2 2 2 2 3 2" xfId="25370"/>
    <cellStyle name="Normal 16 2 2 2 2 4" xfId="31489"/>
    <cellStyle name="Normal 16 2 2 2 3" xfId="7175"/>
    <cellStyle name="Normal 16 2 2 2 3 2" xfId="12346"/>
    <cellStyle name="Normal 16 2 2 2 3 2 2" xfId="26058"/>
    <cellStyle name="Normal 16 2 2 2 3 3" xfId="31491"/>
    <cellStyle name="Normal 16 2 2 2 4" xfId="7176"/>
    <cellStyle name="Normal 16 2 2 2 4 2" xfId="13910"/>
    <cellStyle name="Normal 16 2 2 2 4 2 2" xfId="27459"/>
    <cellStyle name="Normal 16 2 2 2 4 3" xfId="31492"/>
    <cellStyle name="Normal 16 2 2 2 5" xfId="7177"/>
    <cellStyle name="Normal 16 2 2 2 5 2" xfId="14491"/>
    <cellStyle name="Normal 16 2 2 2 5 2 2" xfId="28040"/>
    <cellStyle name="Normal 16 2 2 2 5 3" xfId="31493"/>
    <cellStyle name="Normal 16 2 2 2 6" xfId="7178"/>
    <cellStyle name="Normal 16 2 2 2 6 2" xfId="16377"/>
    <cellStyle name="Normal 16 2 2 2 6 2 2" xfId="29784"/>
    <cellStyle name="Normal 16 2 2 2 6 3" xfId="31494"/>
    <cellStyle name="Normal 16 2 2 2 7" xfId="10163"/>
    <cellStyle name="Normal 16 2 2 2 7 2" xfId="24387"/>
    <cellStyle name="Normal 16 2 2 2 8" xfId="31488"/>
    <cellStyle name="Normal 16 2 2 3" xfId="7179"/>
    <cellStyle name="Normal 16 2 2 3 2" xfId="7180"/>
    <cellStyle name="Normal 16 2 2 3 2 2" xfId="16669"/>
    <cellStyle name="Normal 16 2 2 3 2 2 2" xfId="30076"/>
    <cellStyle name="Normal 16 2 2 3 2 3" xfId="31496"/>
    <cellStyle name="Normal 16 2 2 3 3" xfId="11537"/>
    <cellStyle name="Normal 16 2 2 3 3 2" xfId="25369"/>
    <cellStyle name="Normal 16 2 2 3 4" xfId="31495"/>
    <cellStyle name="Normal 16 2 2 4" xfId="7181"/>
    <cellStyle name="Normal 16 2 2 4 2" xfId="12046"/>
    <cellStyle name="Normal 16 2 2 4 2 2" xfId="25761"/>
    <cellStyle name="Normal 16 2 2 4 3" xfId="31497"/>
    <cellStyle name="Normal 16 2 2 5" xfId="7182"/>
    <cellStyle name="Normal 16 2 2 5 2" xfId="13621"/>
    <cellStyle name="Normal 16 2 2 5 2 2" xfId="27170"/>
    <cellStyle name="Normal 16 2 2 5 3" xfId="31498"/>
    <cellStyle name="Normal 16 2 2 6" xfId="7183"/>
    <cellStyle name="Normal 16 2 2 6 2" xfId="14202"/>
    <cellStyle name="Normal 16 2 2 6 2 2" xfId="27751"/>
    <cellStyle name="Normal 16 2 2 6 3" xfId="31499"/>
    <cellStyle name="Normal 16 2 2 7" xfId="7184"/>
    <cellStyle name="Normal 16 2 2 7 2" xfId="16088"/>
    <cellStyle name="Normal 16 2 2 7 2 2" xfId="29495"/>
    <cellStyle name="Normal 16 2 2 7 3" xfId="31500"/>
    <cellStyle name="Normal 16 2 2 8" xfId="10162"/>
    <cellStyle name="Normal 16 2 2 8 2" xfId="24386"/>
    <cellStyle name="Normal 16 2 2 9" xfId="31487"/>
    <cellStyle name="Normal 16 2 3" xfId="7185"/>
    <cellStyle name="Normal 16 2 3 2" xfId="7186"/>
    <cellStyle name="Normal 16 2 3 2 2" xfId="7187"/>
    <cellStyle name="Normal 16 2 3 2 2 2" xfId="16815"/>
    <cellStyle name="Normal 16 2 3 2 2 2 2" xfId="30222"/>
    <cellStyle name="Normal 16 2 3 2 2 3" xfId="31503"/>
    <cellStyle name="Normal 16 2 3 2 3" xfId="11539"/>
    <cellStyle name="Normal 16 2 3 2 3 2" xfId="25371"/>
    <cellStyle name="Normal 16 2 3 2 4" xfId="31502"/>
    <cellStyle name="Normal 16 2 3 3" xfId="7188"/>
    <cellStyle name="Normal 16 2 3 3 2" xfId="12203"/>
    <cellStyle name="Normal 16 2 3 3 2 2" xfId="25915"/>
    <cellStyle name="Normal 16 2 3 3 3" xfId="31504"/>
    <cellStyle name="Normal 16 2 3 4" xfId="7189"/>
    <cellStyle name="Normal 16 2 3 4 2" xfId="13767"/>
    <cellStyle name="Normal 16 2 3 4 2 2" xfId="27316"/>
    <cellStyle name="Normal 16 2 3 4 3" xfId="31505"/>
    <cellStyle name="Normal 16 2 3 5" xfId="7190"/>
    <cellStyle name="Normal 16 2 3 5 2" xfId="14348"/>
    <cellStyle name="Normal 16 2 3 5 2 2" xfId="27897"/>
    <cellStyle name="Normal 16 2 3 5 3" xfId="31506"/>
    <cellStyle name="Normal 16 2 3 6" xfId="7191"/>
    <cellStyle name="Normal 16 2 3 6 2" xfId="16234"/>
    <cellStyle name="Normal 16 2 3 6 2 2" xfId="29641"/>
    <cellStyle name="Normal 16 2 3 6 3" xfId="31507"/>
    <cellStyle name="Normal 16 2 3 7" xfId="10164"/>
    <cellStyle name="Normal 16 2 3 7 2" xfId="24388"/>
    <cellStyle name="Normal 16 2 3 8" xfId="31501"/>
    <cellStyle name="Normal 16 2 4" xfId="7192"/>
    <cellStyle name="Normal 16 2 4 2" xfId="7193"/>
    <cellStyle name="Normal 16 2 4 2 2" xfId="17162"/>
    <cellStyle name="Normal 16 2 4 2 2 2" xfId="30521"/>
    <cellStyle name="Normal 16 2 4 2 3" xfId="31509"/>
    <cellStyle name="Normal 16 2 4 3" xfId="11536"/>
    <cellStyle name="Normal 16 2 4 3 2" xfId="25368"/>
    <cellStyle name="Normal 16 2 4 4" xfId="31508"/>
    <cellStyle name="Normal 16 2 5" xfId="7194"/>
    <cellStyle name="Normal 16 2 5 2" xfId="7195"/>
    <cellStyle name="Normal 16 2 5 2 2" xfId="17251"/>
    <cellStyle name="Normal 16 2 5 2 2 2" xfId="30610"/>
    <cellStyle name="Normal 16 2 5 2 3" xfId="31511"/>
    <cellStyle name="Normal 16 2 5 3" xfId="11901"/>
    <cellStyle name="Normal 16 2 5 3 2" xfId="25616"/>
    <cellStyle name="Normal 16 2 5 4" xfId="31510"/>
    <cellStyle name="Normal 16 2 6" xfId="7196"/>
    <cellStyle name="Normal 16 2 6 2" xfId="7197"/>
    <cellStyle name="Normal 16 2 6 2 2" xfId="16526"/>
    <cellStyle name="Normal 16 2 6 2 2 2" xfId="29933"/>
    <cellStyle name="Normal 16 2 6 2 3" xfId="31513"/>
    <cellStyle name="Normal 16 2 6 3" xfId="13478"/>
    <cellStyle name="Normal 16 2 6 3 2" xfId="27027"/>
    <cellStyle name="Normal 16 2 6 4" xfId="31512"/>
    <cellStyle name="Normal 16 2 7" xfId="7198"/>
    <cellStyle name="Normal 16 2 7 2" xfId="14059"/>
    <cellStyle name="Normal 16 2 7 2 2" xfId="27608"/>
    <cellStyle name="Normal 16 2 7 3" xfId="31514"/>
    <cellStyle name="Normal 16 2 8" xfId="7199"/>
    <cellStyle name="Normal 16 2 8 2" xfId="15945"/>
    <cellStyle name="Normal 16 2 8 2 2" xfId="29352"/>
    <cellStyle name="Normal 16 2 8 3" xfId="31515"/>
    <cellStyle name="Normal 16 2 9" xfId="10161"/>
    <cellStyle name="Normal 16 2 9 2" xfId="24385"/>
    <cellStyle name="Normal 16 3" xfId="7200"/>
    <cellStyle name="Normal 16 3 2" xfId="7201"/>
    <cellStyle name="Normal 16 3 2 2" xfId="7202"/>
    <cellStyle name="Normal 16 3 2 2 2" xfId="7203"/>
    <cellStyle name="Normal 16 3 2 2 2 2" xfId="16912"/>
    <cellStyle name="Normal 16 3 2 2 2 2 2" xfId="30319"/>
    <cellStyle name="Normal 16 3 2 2 2 3" xfId="31519"/>
    <cellStyle name="Normal 16 3 2 2 3" xfId="11541"/>
    <cellStyle name="Normal 16 3 2 2 3 2" xfId="25373"/>
    <cellStyle name="Normal 16 3 2 2 4" xfId="31518"/>
    <cellStyle name="Normal 16 3 2 3" xfId="7204"/>
    <cellStyle name="Normal 16 3 2 3 2" xfId="12300"/>
    <cellStyle name="Normal 16 3 2 3 2 2" xfId="26012"/>
    <cellStyle name="Normal 16 3 2 3 3" xfId="31520"/>
    <cellStyle name="Normal 16 3 2 4" xfId="7205"/>
    <cellStyle name="Normal 16 3 2 4 2" xfId="13864"/>
    <cellStyle name="Normal 16 3 2 4 2 2" xfId="27413"/>
    <cellStyle name="Normal 16 3 2 4 3" xfId="31521"/>
    <cellStyle name="Normal 16 3 2 5" xfId="7206"/>
    <cellStyle name="Normal 16 3 2 5 2" xfId="14445"/>
    <cellStyle name="Normal 16 3 2 5 2 2" xfId="27994"/>
    <cellStyle name="Normal 16 3 2 5 3" xfId="31522"/>
    <cellStyle name="Normal 16 3 2 6" xfId="7207"/>
    <cellStyle name="Normal 16 3 2 6 2" xfId="16331"/>
    <cellStyle name="Normal 16 3 2 6 2 2" xfId="29738"/>
    <cellStyle name="Normal 16 3 2 6 3" xfId="31523"/>
    <cellStyle name="Normal 16 3 2 7" xfId="10166"/>
    <cellStyle name="Normal 16 3 2 7 2" xfId="24390"/>
    <cellStyle name="Normal 16 3 2 8" xfId="31517"/>
    <cellStyle name="Normal 16 3 3" xfId="7208"/>
    <cellStyle name="Normal 16 3 3 2" xfId="7209"/>
    <cellStyle name="Normal 16 3 3 2 2" xfId="16623"/>
    <cellStyle name="Normal 16 3 3 2 2 2" xfId="30030"/>
    <cellStyle name="Normal 16 3 3 2 3" xfId="31525"/>
    <cellStyle name="Normal 16 3 3 3" xfId="11540"/>
    <cellStyle name="Normal 16 3 3 3 2" xfId="25372"/>
    <cellStyle name="Normal 16 3 3 4" xfId="31524"/>
    <cellStyle name="Normal 16 3 4" xfId="7210"/>
    <cellStyle name="Normal 16 3 4 2" xfId="12000"/>
    <cellStyle name="Normal 16 3 4 2 2" xfId="25715"/>
    <cellStyle name="Normal 16 3 4 3" xfId="31526"/>
    <cellStyle name="Normal 16 3 5" xfId="7211"/>
    <cellStyle name="Normal 16 3 5 2" xfId="13575"/>
    <cellStyle name="Normal 16 3 5 2 2" xfId="27124"/>
    <cellStyle name="Normal 16 3 5 3" xfId="31527"/>
    <cellStyle name="Normal 16 3 6" xfId="7212"/>
    <cellStyle name="Normal 16 3 6 2" xfId="14156"/>
    <cellStyle name="Normal 16 3 6 2 2" xfId="27705"/>
    <cellStyle name="Normal 16 3 6 3" xfId="31528"/>
    <cellStyle name="Normal 16 3 7" xfId="7213"/>
    <cellStyle name="Normal 16 3 7 2" xfId="16042"/>
    <cellStyle name="Normal 16 3 7 2 2" xfId="29449"/>
    <cellStyle name="Normal 16 3 7 3" xfId="31529"/>
    <cellStyle name="Normal 16 3 8" xfId="10165"/>
    <cellStyle name="Normal 16 3 8 2" xfId="24389"/>
    <cellStyle name="Normal 16 3 9" xfId="31516"/>
    <cellStyle name="Normal 16 4" xfId="7214"/>
    <cellStyle name="Normal 16 4 2" xfId="7215"/>
    <cellStyle name="Normal 16 4 2 2" xfId="7216"/>
    <cellStyle name="Normal 16 4 2 2 2" xfId="16769"/>
    <cellStyle name="Normal 16 4 2 2 2 2" xfId="30176"/>
    <cellStyle name="Normal 16 4 2 2 3" xfId="31532"/>
    <cellStyle name="Normal 16 4 2 3" xfId="11542"/>
    <cellStyle name="Normal 16 4 2 3 2" xfId="25374"/>
    <cellStyle name="Normal 16 4 2 4" xfId="31531"/>
    <cellStyle name="Normal 16 4 3" xfId="7217"/>
    <cellStyle name="Normal 16 4 3 2" xfId="12157"/>
    <cellStyle name="Normal 16 4 3 2 2" xfId="25869"/>
    <cellStyle name="Normal 16 4 3 3" xfId="31533"/>
    <cellStyle name="Normal 16 4 4" xfId="7218"/>
    <cellStyle name="Normal 16 4 4 2" xfId="13721"/>
    <cellStyle name="Normal 16 4 4 2 2" xfId="27270"/>
    <cellStyle name="Normal 16 4 4 3" xfId="31534"/>
    <cellStyle name="Normal 16 4 5" xfId="7219"/>
    <cellStyle name="Normal 16 4 5 2" xfId="14302"/>
    <cellStyle name="Normal 16 4 5 2 2" xfId="27851"/>
    <cellStyle name="Normal 16 4 5 3" xfId="31535"/>
    <cellStyle name="Normal 16 4 6" xfId="7220"/>
    <cellStyle name="Normal 16 4 6 2" xfId="16188"/>
    <cellStyle name="Normal 16 4 6 2 2" xfId="29595"/>
    <cellStyle name="Normal 16 4 6 3" xfId="31536"/>
    <cellStyle name="Normal 16 4 7" xfId="10167"/>
    <cellStyle name="Normal 16 4 7 2" xfId="24391"/>
    <cellStyle name="Normal 16 4 8" xfId="31530"/>
    <cellStyle name="Normal 16 5" xfId="7221"/>
    <cellStyle name="Normal 16 5 2" xfId="7222"/>
    <cellStyle name="Normal 16 5 2 2" xfId="17116"/>
    <cellStyle name="Normal 16 5 2 2 2" xfId="30475"/>
    <cellStyle name="Normal 16 5 2 3" xfId="31538"/>
    <cellStyle name="Normal 16 5 3" xfId="11535"/>
    <cellStyle name="Normal 16 5 3 2" xfId="25367"/>
    <cellStyle name="Normal 16 5 4" xfId="31537"/>
    <cellStyle name="Normal 16 6" xfId="7223"/>
    <cellStyle name="Normal 16 6 2" xfId="7224"/>
    <cellStyle name="Normal 16 6 2 2" xfId="17205"/>
    <cellStyle name="Normal 16 6 2 2 2" xfId="30564"/>
    <cellStyle name="Normal 16 6 2 3" xfId="31540"/>
    <cellStyle name="Normal 16 6 3" xfId="11831"/>
    <cellStyle name="Normal 16 6 3 2" xfId="25546"/>
    <cellStyle name="Normal 16 6 4" xfId="31539"/>
    <cellStyle name="Normal 16 7" xfId="7225"/>
    <cellStyle name="Normal 16 7 2" xfId="7226"/>
    <cellStyle name="Normal 16 7 2 2" xfId="16480"/>
    <cellStyle name="Normal 16 7 2 2 2" xfId="29887"/>
    <cellStyle name="Normal 16 7 2 3" xfId="31542"/>
    <cellStyle name="Normal 16 7 3" xfId="13432"/>
    <cellStyle name="Normal 16 7 3 2" xfId="26981"/>
    <cellStyle name="Normal 16 7 4" xfId="31541"/>
    <cellStyle name="Normal 16 8" xfId="7227"/>
    <cellStyle name="Normal 16 8 2" xfId="14013"/>
    <cellStyle name="Normal 16 8 2 2" xfId="27562"/>
    <cellStyle name="Normal 16 8 3" xfId="31543"/>
    <cellStyle name="Normal 16 9" xfId="7228"/>
    <cellStyle name="Normal 16 9 2" xfId="15899"/>
    <cellStyle name="Normal 16 9 2 2" xfId="29306"/>
    <cellStyle name="Normal 16 9 3" xfId="31544"/>
    <cellStyle name="Normal 17" xfId="7229"/>
    <cellStyle name="Normal 17 2" xfId="7230"/>
    <cellStyle name="Normal 17 2 2" xfId="10169"/>
    <cellStyle name="Normal 17 3" xfId="10168"/>
    <cellStyle name="Normal 17 4" xfId="33102"/>
    <cellStyle name="Normal 18" xfId="7231"/>
    <cellStyle name="Normal 18 2" xfId="7232"/>
    <cellStyle name="Normal 18 2 2" xfId="10171"/>
    <cellStyle name="Normal 18 3" xfId="10170"/>
    <cellStyle name="Normal 19" xfId="7233"/>
    <cellStyle name="Normal 19 10" xfId="31545"/>
    <cellStyle name="Normal 19 2" xfId="7234"/>
    <cellStyle name="Normal 19 2 2" xfId="7235"/>
    <cellStyle name="Normal 19 2 2 2" xfId="7236"/>
    <cellStyle name="Normal 19 2 2 2 2" xfId="7237"/>
    <cellStyle name="Normal 19 2 2 2 2 2" xfId="16935"/>
    <cellStyle name="Normal 19 2 2 2 2 2 2" xfId="30342"/>
    <cellStyle name="Normal 19 2 2 2 2 3" xfId="31549"/>
    <cellStyle name="Normal 19 2 2 2 3" xfId="11545"/>
    <cellStyle name="Normal 19 2 2 2 3 2" xfId="25377"/>
    <cellStyle name="Normal 19 2 2 2 4" xfId="31548"/>
    <cellStyle name="Normal 19 2 2 3" xfId="7238"/>
    <cellStyle name="Normal 19 2 2 3 2" xfId="12323"/>
    <cellStyle name="Normal 19 2 2 3 2 2" xfId="26035"/>
    <cellStyle name="Normal 19 2 2 3 3" xfId="31550"/>
    <cellStyle name="Normal 19 2 2 4" xfId="7239"/>
    <cellStyle name="Normal 19 2 2 4 2" xfId="13887"/>
    <cellStyle name="Normal 19 2 2 4 2 2" xfId="27436"/>
    <cellStyle name="Normal 19 2 2 4 3" xfId="31551"/>
    <cellStyle name="Normal 19 2 2 5" xfId="7240"/>
    <cellStyle name="Normal 19 2 2 5 2" xfId="14468"/>
    <cellStyle name="Normal 19 2 2 5 2 2" xfId="28017"/>
    <cellStyle name="Normal 19 2 2 5 3" xfId="31552"/>
    <cellStyle name="Normal 19 2 2 6" xfId="7241"/>
    <cellStyle name="Normal 19 2 2 6 2" xfId="16354"/>
    <cellStyle name="Normal 19 2 2 6 2 2" xfId="29761"/>
    <cellStyle name="Normal 19 2 2 6 3" xfId="31553"/>
    <cellStyle name="Normal 19 2 2 7" xfId="10174"/>
    <cellStyle name="Normal 19 2 2 7 2" xfId="24394"/>
    <cellStyle name="Normal 19 2 2 8" xfId="31547"/>
    <cellStyle name="Normal 19 2 3" xfId="7242"/>
    <cellStyle name="Normal 19 2 3 2" xfId="7243"/>
    <cellStyle name="Normal 19 2 3 2 2" xfId="16646"/>
    <cellStyle name="Normal 19 2 3 2 2 2" xfId="30053"/>
    <cellStyle name="Normal 19 2 3 2 3" xfId="31555"/>
    <cellStyle name="Normal 19 2 3 3" xfId="11544"/>
    <cellStyle name="Normal 19 2 3 3 2" xfId="25376"/>
    <cellStyle name="Normal 19 2 3 4" xfId="31554"/>
    <cellStyle name="Normal 19 2 4" xfId="7244"/>
    <cellStyle name="Normal 19 2 4 2" xfId="12023"/>
    <cellStyle name="Normal 19 2 4 2 2" xfId="25738"/>
    <cellStyle name="Normal 19 2 4 3" xfId="31556"/>
    <cellStyle name="Normal 19 2 5" xfId="7245"/>
    <cellStyle name="Normal 19 2 5 2" xfId="13598"/>
    <cellStyle name="Normal 19 2 5 2 2" xfId="27147"/>
    <cellStyle name="Normal 19 2 5 3" xfId="31557"/>
    <cellStyle name="Normal 19 2 6" xfId="7246"/>
    <cellStyle name="Normal 19 2 6 2" xfId="14179"/>
    <cellStyle name="Normal 19 2 6 2 2" xfId="27728"/>
    <cellStyle name="Normal 19 2 6 3" xfId="31558"/>
    <cellStyle name="Normal 19 2 7" xfId="7247"/>
    <cellStyle name="Normal 19 2 7 2" xfId="16065"/>
    <cellStyle name="Normal 19 2 7 2 2" xfId="29472"/>
    <cellStyle name="Normal 19 2 7 3" xfId="31559"/>
    <cellStyle name="Normal 19 2 8" xfId="10173"/>
    <cellStyle name="Normal 19 2 8 2" xfId="24393"/>
    <cellStyle name="Normal 19 2 9" xfId="31546"/>
    <cellStyle name="Normal 19 3" xfId="7248"/>
    <cellStyle name="Normal 19 3 2" xfId="7249"/>
    <cellStyle name="Normal 19 3 2 2" xfId="7250"/>
    <cellStyle name="Normal 19 3 2 2 2" xfId="16792"/>
    <cellStyle name="Normal 19 3 2 2 2 2" xfId="30199"/>
    <cellStyle name="Normal 19 3 2 2 3" xfId="31562"/>
    <cellStyle name="Normal 19 3 2 3" xfId="11546"/>
    <cellStyle name="Normal 19 3 2 3 2" xfId="25378"/>
    <cellStyle name="Normal 19 3 2 4" xfId="31561"/>
    <cellStyle name="Normal 19 3 3" xfId="7251"/>
    <cellStyle name="Normal 19 3 3 2" xfId="12180"/>
    <cellStyle name="Normal 19 3 3 2 2" xfId="25892"/>
    <cellStyle name="Normal 19 3 3 3" xfId="31563"/>
    <cellStyle name="Normal 19 3 4" xfId="7252"/>
    <cellStyle name="Normal 19 3 4 2" xfId="13744"/>
    <cellStyle name="Normal 19 3 4 2 2" xfId="27293"/>
    <cellStyle name="Normal 19 3 4 3" xfId="31564"/>
    <cellStyle name="Normal 19 3 5" xfId="7253"/>
    <cellStyle name="Normal 19 3 5 2" xfId="14325"/>
    <cellStyle name="Normal 19 3 5 2 2" xfId="27874"/>
    <cellStyle name="Normal 19 3 5 3" xfId="31565"/>
    <cellStyle name="Normal 19 3 6" xfId="7254"/>
    <cellStyle name="Normal 19 3 6 2" xfId="16211"/>
    <cellStyle name="Normal 19 3 6 2 2" xfId="29618"/>
    <cellStyle name="Normal 19 3 6 3" xfId="31566"/>
    <cellStyle name="Normal 19 3 7" xfId="10175"/>
    <cellStyle name="Normal 19 3 7 2" xfId="24395"/>
    <cellStyle name="Normal 19 3 8" xfId="31560"/>
    <cellStyle name="Normal 19 4" xfId="7255"/>
    <cellStyle name="Normal 19 4 2" xfId="7256"/>
    <cellStyle name="Normal 19 4 2 2" xfId="17139"/>
    <cellStyle name="Normal 19 4 2 2 2" xfId="30498"/>
    <cellStyle name="Normal 19 4 2 3" xfId="31568"/>
    <cellStyle name="Normal 19 4 3" xfId="11543"/>
    <cellStyle name="Normal 19 4 3 2" xfId="25375"/>
    <cellStyle name="Normal 19 4 4" xfId="31567"/>
    <cellStyle name="Normal 19 5" xfId="7257"/>
    <cellStyle name="Normal 19 5 2" xfId="7258"/>
    <cellStyle name="Normal 19 5 2 2" xfId="17228"/>
    <cellStyle name="Normal 19 5 2 2 2" xfId="30587"/>
    <cellStyle name="Normal 19 5 2 3" xfId="31570"/>
    <cellStyle name="Normal 19 5 3" xfId="11875"/>
    <cellStyle name="Normal 19 5 3 2" xfId="25590"/>
    <cellStyle name="Normal 19 5 4" xfId="31569"/>
    <cellStyle name="Normal 19 6" xfId="7259"/>
    <cellStyle name="Normal 19 6 2" xfId="7260"/>
    <cellStyle name="Normal 19 6 2 2" xfId="16503"/>
    <cellStyle name="Normal 19 6 2 2 2" xfId="29910"/>
    <cellStyle name="Normal 19 6 2 3" xfId="31572"/>
    <cellStyle name="Normal 19 6 3" xfId="13455"/>
    <cellStyle name="Normal 19 6 3 2" xfId="27004"/>
    <cellStyle name="Normal 19 6 4" xfId="31571"/>
    <cellStyle name="Normal 19 7" xfId="7261"/>
    <cellStyle name="Normal 19 7 2" xfId="14036"/>
    <cellStyle name="Normal 19 7 2 2" xfId="27585"/>
    <cellStyle name="Normal 19 7 3" xfId="31573"/>
    <cellStyle name="Normal 19 8" xfId="7262"/>
    <cellStyle name="Normal 19 8 2" xfId="15922"/>
    <cellStyle name="Normal 19 8 2 2" xfId="29329"/>
    <cellStyle name="Normal 19 8 3" xfId="31574"/>
    <cellStyle name="Normal 19 9" xfId="10172"/>
    <cellStyle name="Normal 19 9 2" xfId="24392"/>
    <cellStyle name="Normal 2" xfId="8"/>
    <cellStyle name="Normal 2 2" xfId="7263"/>
    <cellStyle name="Normal 2 2 2" xfId="7264"/>
    <cellStyle name="Normal 2 2 2 10" xfId="32939"/>
    <cellStyle name="Normal 2 2 2 11" xfId="32998"/>
    <cellStyle name="Normal 2 2 2 2" xfId="7265"/>
    <cellStyle name="Normal 2 2 2 2 2" xfId="11548"/>
    <cellStyle name="Normal 2 2 2 2 2 2" xfId="25379"/>
    <cellStyle name="Normal 2 2 2 2 3" xfId="31577"/>
    <cellStyle name="Normal 2 2 2 2 4" xfId="32947"/>
    <cellStyle name="Normal 2 2 2 2 5" xfId="33005"/>
    <cellStyle name="Normal 2 2 2 3" xfId="7266"/>
    <cellStyle name="Normal 2 2 2 3 2" xfId="13246"/>
    <cellStyle name="Normal 2 2 2 3 2 2" xfId="26889"/>
    <cellStyle name="Normal 2 2 2 3 3" xfId="31578"/>
    <cellStyle name="Normal 2 2 2 4" xfId="7267"/>
    <cellStyle name="Normal 2 2 2 4 2" xfId="15695"/>
    <cellStyle name="Normal 2 2 2 4 2 2" xfId="29181"/>
    <cellStyle name="Normal 2 2 2 4 3" xfId="31579"/>
    <cellStyle name="Normal 2 2 2 5" xfId="7268"/>
    <cellStyle name="Normal 2 2 2 5 2" xfId="15804"/>
    <cellStyle name="Normal 2 2 2 5 2 2" xfId="29211"/>
    <cellStyle name="Normal 2 2 2 5 3" xfId="31580"/>
    <cellStyle name="Normal 2 2 2 6" xfId="7269"/>
    <cellStyle name="Normal 2 2 2 6 2" xfId="17040"/>
    <cellStyle name="Normal 2 2 2 6 3" xfId="31581"/>
    <cellStyle name="Normal 2 2 2 7" xfId="8713"/>
    <cellStyle name="Normal 2 2 2 7 2" xfId="17325"/>
    <cellStyle name="Normal 2 2 2 7 2 2" xfId="30678"/>
    <cellStyle name="Normal 2 2 2 7 3" xfId="23232"/>
    <cellStyle name="Normal 2 2 2 8" xfId="8809"/>
    <cellStyle name="Normal 2 2 2 8 2" xfId="23287"/>
    <cellStyle name="Normal 2 2 2 9" xfId="31576"/>
    <cellStyle name="Normal 2 2 3" xfId="7270"/>
    <cellStyle name="Normal 2 2 3 2" xfId="7271"/>
    <cellStyle name="Normal 2 2 3 2 2" xfId="11692"/>
    <cellStyle name="Normal 2 2 3 2 3" xfId="31583"/>
    <cellStyle name="Normal 2 2 3 3" xfId="10177"/>
    <cellStyle name="Normal 2 2 3 4" xfId="31582"/>
    <cellStyle name="Normal 2 2 4" xfId="7272"/>
    <cellStyle name="Normal 2 2 4 2" xfId="11547"/>
    <cellStyle name="Normal 2 2 4 3" xfId="31584"/>
    <cellStyle name="Normal 2 2 5" xfId="8702"/>
    <cellStyle name="Normal 2 2 6" xfId="31575"/>
    <cellStyle name="Normal 2 3" xfId="7273"/>
    <cellStyle name="Normal 2 3 2" xfId="7274"/>
    <cellStyle name="Normal 2 3 2 2" xfId="10178"/>
    <cellStyle name="Normal 2 3 3" xfId="7275"/>
    <cellStyle name="Normal 2 3 3 2" xfId="7276"/>
    <cellStyle name="Normal 2 3 3 2 2" xfId="10180"/>
    <cellStyle name="Normal 2 3 3 3" xfId="7277"/>
    <cellStyle name="Normal 2 3 3 3 2" xfId="13247"/>
    <cellStyle name="Normal 2 3 3 4" xfId="10179"/>
    <cellStyle name="Normal 2 3 4" xfId="7278"/>
    <cellStyle name="Normal 2 3 4 2" xfId="7279"/>
    <cellStyle name="Normal 2 3 4 2 2" xfId="13248"/>
    <cellStyle name="Normal 2 3 4 3" xfId="10520"/>
    <cellStyle name="Normal 2 3 5" xfId="8710"/>
    <cellStyle name="Normal 2 3 6" xfId="33044"/>
    <cellStyle name="Normal 2 4" xfId="7280"/>
    <cellStyle name="Normal 2 4 2" xfId="7281"/>
    <cellStyle name="Normal 2 4 2 2" xfId="10181"/>
    <cellStyle name="Normal 2 4 2 3" xfId="31585"/>
    <cellStyle name="Normal 2 4 3" xfId="8676"/>
    <cellStyle name="Normal 2 4 4" xfId="33093"/>
    <cellStyle name="Normal 2 5" xfId="7282"/>
    <cellStyle name="Normal 2 5 2" xfId="7283"/>
    <cellStyle name="Normal 2 5 2 2" xfId="10183"/>
    <cellStyle name="Normal 2 5 3" xfId="7284"/>
    <cellStyle name="Normal 2 5 3 2" xfId="13249"/>
    <cellStyle name="Normal 2 5 4" xfId="7285"/>
    <cellStyle name="Normal 2 5 4 2" xfId="17344"/>
    <cellStyle name="Normal 2 5 5" xfId="8737"/>
    <cellStyle name="Normal 2 5 6" xfId="10182"/>
    <cellStyle name="Normal 2 6" xfId="7286"/>
    <cellStyle name="Normal 2 6 2" xfId="7287"/>
    <cellStyle name="Normal 2 6 2 2" xfId="17345"/>
    <cellStyle name="Normal 2 6 2 3" xfId="31587"/>
    <cellStyle name="Normal 2 6 3" xfId="8722"/>
    <cellStyle name="Normal 2 6 4" xfId="10184"/>
    <cellStyle name="Normal 2 6 5" xfId="31586"/>
    <cellStyle name="Normal 2 7" xfId="7288"/>
    <cellStyle name="Normal 2 7 2" xfId="7289"/>
    <cellStyle name="Normal 2 7 2 2" xfId="13250"/>
    <cellStyle name="Normal 2 7 3" xfId="10519"/>
    <cellStyle name="Normal 2 8" xfId="8652"/>
    <cellStyle name="Normal 2 8 2" xfId="10176"/>
    <cellStyle name="Normal 2 9" xfId="17300"/>
    <cellStyle name="Normal 20" xfId="7290"/>
    <cellStyle name="Normal 20 2" xfId="10185"/>
    <cellStyle name="Normal 21" xfId="7291"/>
    <cellStyle name="Normal 21 2" xfId="7292"/>
    <cellStyle name="Normal 21 2 2" xfId="13251"/>
    <cellStyle name="Normal 21 2 3" xfId="31589"/>
    <cellStyle name="Normal 21 3" xfId="10186"/>
    <cellStyle name="Normal 21 4" xfId="31588"/>
    <cellStyle name="Normal 22" xfId="7293"/>
    <cellStyle name="Normal 22 2" xfId="7294"/>
    <cellStyle name="Normal 22 2 2" xfId="10188"/>
    <cellStyle name="Normal 22 2 3" xfId="31591"/>
    <cellStyle name="Normal 22 3" xfId="7295"/>
    <cellStyle name="Normal 22 3 2" xfId="13253"/>
    <cellStyle name="Normal 22 3 3" xfId="31592"/>
    <cellStyle name="Normal 22 4" xfId="7296"/>
    <cellStyle name="Normal 22 4 2" xfId="13252"/>
    <cellStyle name="Normal 22 4 3" xfId="31593"/>
    <cellStyle name="Normal 22 5" xfId="10187"/>
    <cellStyle name="Normal 22 6" xfId="31590"/>
    <cellStyle name="Normal 23" xfId="7297"/>
    <cellStyle name="Normal 23 2" xfId="10189"/>
    <cellStyle name="Normal 23 3" xfId="31594"/>
    <cellStyle name="Normal 24" xfId="8651"/>
    <cellStyle name="Normal 24 2" xfId="17330"/>
    <cellStyle name="Normal 24 3" xfId="8819"/>
    <cellStyle name="Normal 24 4" xfId="23201"/>
    <cellStyle name="Normal 25" xfId="17299"/>
    <cellStyle name="Normal 25 2" xfId="30655"/>
    <cellStyle name="Normal 26" xfId="8788"/>
    <cellStyle name="Normal 26 2" xfId="23266"/>
    <cellStyle name="Normal 27" xfId="32910"/>
    <cellStyle name="Normal 28" xfId="52"/>
    <cellStyle name="Normal 29" xfId="33032"/>
    <cellStyle name="Normal 3" xfId="13"/>
    <cellStyle name="Normal 3 10" xfId="7299"/>
    <cellStyle name="Normal 3 10 2" xfId="7300"/>
    <cellStyle name="Normal 3 10 2 2" xfId="11728"/>
    <cellStyle name="Normal 3 10 2 2 2" xfId="25447"/>
    <cellStyle name="Normal 3 10 2 3" xfId="31596"/>
    <cellStyle name="Normal 3 10 2 4" xfId="32949"/>
    <cellStyle name="Normal 3 10 2 5" xfId="33007"/>
    <cellStyle name="Normal 3 10 3" xfId="7301"/>
    <cellStyle name="Normal 3 10 3 2" xfId="10190"/>
    <cellStyle name="Normal 3 10 3 3" xfId="31597"/>
    <cellStyle name="Normal 3 10 4" xfId="8680"/>
    <cellStyle name="Normal 3 10 4 2" xfId="17305"/>
    <cellStyle name="Normal 3 10 4 2 2" xfId="30658"/>
    <cellStyle name="Normal 3 10 4 3" xfId="23210"/>
    <cellStyle name="Normal 3 10 5" xfId="8789"/>
    <cellStyle name="Normal 3 10 5 2" xfId="23267"/>
    <cellStyle name="Normal 3 10 6" xfId="31595"/>
    <cellStyle name="Normal 3 10 7" xfId="32918"/>
    <cellStyle name="Normal 3 10 8" xfId="32978"/>
    <cellStyle name="Normal 3 11" xfId="7302"/>
    <cellStyle name="Normal 3 11 2" xfId="7303"/>
    <cellStyle name="Normal 3 11 2 2" xfId="13254"/>
    <cellStyle name="Normal 3 11 2 2 2" xfId="26890"/>
    <cellStyle name="Normal 3 11 2 3" xfId="31599"/>
    <cellStyle name="Normal 3 11 3" xfId="7304"/>
    <cellStyle name="Normal 3 11 3 2" xfId="15696"/>
    <cellStyle name="Normal 3 11 3 2 2" xfId="29182"/>
    <cellStyle name="Normal 3 11 3 3" xfId="31600"/>
    <cellStyle name="Normal 3 11 4" xfId="7305"/>
    <cellStyle name="Normal 3 11 4 2" xfId="17370"/>
    <cellStyle name="Normal 3 11 4 2 2" xfId="30687"/>
    <cellStyle name="Normal 3 11 4 3" xfId="31601"/>
    <cellStyle name="Normal 3 11 5" xfId="8724"/>
    <cellStyle name="Normal 3 11 6" xfId="11549"/>
    <cellStyle name="Normal 3 11 6 2" xfId="25380"/>
    <cellStyle name="Normal 3 11 7" xfId="31598"/>
    <cellStyle name="Normal 3 12" xfId="7306"/>
    <cellStyle name="Normal 3 12 2" xfId="7307"/>
    <cellStyle name="Normal 3 12 2 2" xfId="17372"/>
    <cellStyle name="Normal 3 12 2 2 2" xfId="30688"/>
    <cellStyle name="Normal 3 12 2 3" xfId="31603"/>
    <cellStyle name="Normal 3 12 3" xfId="8723"/>
    <cellStyle name="Normal 3 12 4" xfId="15805"/>
    <cellStyle name="Normal 3 12 4 2" xfId="29212"/>
    <cellStyle name="Normal 3 12 5" xfId="31602"/>
    <cellStyle name="Normal 3 13" xfId="8655"/>
    <cellStyle name="Normal 3 13 2" xfId="32948"/>
    <cellStyle name="Normal 3 13 3" xfId="33006"/>
    <cellStyle name="Normal 3 14" xfId="7298"/>
    <cellStyle name="Normal 3 2" xfId="7308"/>
    <cellStyle name="Normal 3 2 10" xfId="7309"/>
    <cellStyle name="Normal 3 2 10 2" xfId="13255"/>
    <cellStyle name="Normal 3 2 10 2 2" xfId="26891"/>
    <cellStyle name="Normal 3 2 10 3" xfId="31604"/>
    <cellStyle name="Normal 3 2 11" xfId="7310"/>
    <cellStyle name="Normal 3 2 11 2" xfId="15697"/>
    <cellStyle name="Normal 3 2 11 2 2" xfId="29183"/>
    <cellStyle name="Normal 3 2 11 3" xfId="31605"/>
    <cellStyle name="Normal 3 2 12" xfId="7311"/>
    <cellStyle name="Normal 3 2 12 2" xfId="15806"/>
    <cellStyle name="Normal 3 2 12 2 2" xfId="29213"/>
    <cellStyle name="Normal 3 2 12 3" xfId="31606"/>
    <cellStyle name="Normal 3 2 13" xfId="8683"/>
    <cellStyle name="Normal 3 2 13 2" xfId="17308"/>
    <cellStyle name="Normal 3 2 13 2 2" xfId="30661"/>
    <cellStyle name="Normal 3 2 13 3" xfId="23213"/>
    <cellStyle name="Normal 3 2 14" xfId="8792"/>
    <cellStyle name="Normal 3 2 14 2" xfId="23270"/>
    <cellStyle name="Normal 3 2 15" xfId="32921"/>
    <cellStyle name="Normal 3 2 16" xfId="32981"/>
    <cellStyle name="Normal 3 2 17" xfId="33039"/>
    <cellStyle name="Normal 3 2 2" xfId="7312"/>
    <cellStyle name="Normal 3 2 2 10" xfId="7313"/>
    <cellStyle name="Normal 3 2 2 10 2" xfId="16423"/>
    <cellStyle name="Normal 3 2 2 10 2 2" xfId="29830"/>
    <cellStyle name="Normal 3 2 2 10 3" xfId="31608"/>
    <cellStyle name="Normal 3 2 2 11" xfId="8687"/>
    <cellStyle name="Normal 3 2 2 11 2" xfId="17312"/>
    <cellStyle name="Normal 3 2 2 11 2 2" xfId="30665"/>
    <cellStyle name="Normal 3 2 2 11 3" xfId="23217"/>
    <cellStyle name="Normal 3 2 2 12" xfId="8796"/>
    <cellStyle name="Normal 3 2 2 12 2" xfId="23274"/>
    <cellStyle name="Normal 3 2 2 13" xfId="31607"/>
    <cellStyle name="Normal 3 2 2 14" xfId="32925"/>
    <cellStyle name="Normal 3 2 2 15" xfId="32985"/>
    <cellStyle name="Normal 3 2 2 2" xfId="7314"/>
    <cellStyle name="Normal 3 2 2 2 2" xfId="7315"/>
    <cellStyle name="Normal 3 2 2 2 2 2" xfId="11552"/>
    <cellStyle name="Normal 3 2 2 2 2 2 2" xfId="25383"/>
    <cellStyle name="Normal 3 2 2 2 2 3" xfId="31610"/>
    <cellStyle name="Normal 3 2 2 2 3" xfId="7316"/>
    <cellStyle name="Normal 3 2 2 2 3 2" xfId="13257"/>
    <cellStyle name="Normal 3 2 2 2 3 2 2" xfId="26893"/>
    <cellStyle name="Normal 3 2 2 2 3 3" xfId="31611"/>
    <cellStyle name="Normal 3 2 2 2 4" xfId="7317"/>
    <cellStyle name="Normal 3 2 2 2 4 2" xfId="15699"/>
    <cellStyle name="Normal 3 2 2 2 4 2 2" xfId="29185"/>
    <cellStyle name="Normal 3 2 2 2 4 3" xfId="31612"/>
    <cellStyle name="Normal 3 2 2 2 5" xfId="7318"/>
    <cellStyle name="Normal 3 2 2 2 5 2" xfId="17041"/>
    <cellStyle name="Normal 3 2 2 2 5 2 2" xfId="30442"/>
    <cellStyle name="Normal 3 2 2 2 5 3" xfId="31613"/>
    <cellStyle name="Normal 3 2 2 2 6" xfId="10191"/>
    <cellStyle name="Normal 3 2 2 2 6 2" xfId="24396"/>
    <cellStyle name="Normal 3 2 2 2 7" xfId="31609"/>
    <cellStyle name="Normal 3 2 2 2 8" xfId="32951"/>
    <cellStyle name="Normal 3 2 2 2 9" xfId="33009"/>
    <cellStyle name="Normal 3 2 2 3" xfId="7319"/>
    <cellStyle name="Normal 3 2 2 3 2" xfId="7320"/>
    <cellStyle name="Normal 3 2 2 3 2 2" xfId="17004"/>
    <cellStyle name="Normal 3 2 2 3 2 2 2" xfId="30411"/>
    <cellStyle name="Normal 3 2 2 3 2 3" xfId="31615"/>
    <cellStyle name="Normal 3 2 2 3 3" xfId="11551"/>
    <cellStyle name="Normal 3 2 2 3 3 2" xfId="25382"/>
    <cellStyle name="Normal 3 2 2 3 4" xfId="31614"/>
    <cellStyle name="Normal 3 2 2 4" xfId="7321"/>
    <cellStyle name="Normal 3 2 2 4 2" xfId="12393"/>
    <cellStyle name="Normal 3 2 2 4 2 2" xfId="26105"/>
    <cellStyle name="Normal 3 2 2 4 3" xfId="31616"/>
    <cellStyle name="Normal 3 2 2 5" xfId="7322"/>
    <cellStyle name="Normal 3 2 2 5 2" xfId="13256"/>
    <cellStyle name="Normal 3 2 2 5 2 2" xfId="26892"/>
    <cellStyle name="Normal 3 2 2 5 3" xfId="31617"/>
    <cellStyle name="Normal 3 2 2 6" xfId="7323"/>
    <cellStyle name="Normal 3 2 2 6 2" xfId="13956"/>
    <cellStyle name="Normal 3 2 2 6 2 2" xfId="27505"/>
    <cellStyle name="Normal 3 2 2 6 3" xfId="31618"/>
    <cellStyle name="Normal 3 2 2 7" xfId="7324"/>
    <cellStyle name="Normal 3 2 2 7 2" xfId="14537"/>
    <cellStyle name="Normal 3 2 2 7 2 2" xfId="28086"/>
    <cellStyle name="Normal 3 2 2 7 3" xfId="31619"/>
    <cellStyle name="Normal 3 2 2 8" xfId="7325"/>
    <cellStyle name="Normal 3 2 2 8 2" xfId="15698"/>
    <cellStyle name="Normal 3 2 2 8 2 2" xfId="29184"/>
    <cellStyle name="Normal 3 2 2 8 3" xfId="31620"/>
    <cellStyle name="Normal 3 2 2 9" xfId="7326"/>
    <cellStyle name="Normal 3 2 2 9 2" xfId="15807"/>
    <cellStyle name="Normal 3 2 2 9 2 2" xfId="29214"/>
    <cellStyle name="Normal 3 2 2 9 3" xfId="31621"/>
    <cellStyle name="Normal 3 2 3" xfId="7327"/>
    <cellStyle name="Normal 3 2 3 10" xfId="32989"/>
    <cellStyle name="Normal 3 2 3 2" xfId="7328"/>
    <cellStyle name="Normal 3 2 3 2 2" xfId="11553"/>
    <cellStyle name="Normal 3 2 3 2 2 2" xfId="25384"/>
    <cellStyle name="Normal 3 2 3 2 3" xfId="31623"/>
    <cellStyle name="Normal 3 2 3 2 4" xfId="32952"/>
    <cellStyle name="Normal 3 2 3 2 5" xfId="33010"/>
    <cellStyle name="Normal 3 2 3 3" xfId="7329"/>
    <cellStyle name="Normal 3 2 3 3 2" xfId="13258"/>
    <cellStyle name="Normal 3 2 3 3 2 2" xfId="26894"/>
    <cellStyle name="Normal 3 2 3 3 3" xfId="31624"/>
    <cellStyle name="Normal 3 2 3 4" xfId="7330"/>
    <cellStyle name="Normal 3 2 3 4 2" xfId="15700"/>
    <cellStyle name="Normal 3 2 3 4 2 2" xfId="29186"/>
    <cellStyle name="Normal 3 2 3 4 3" xfId="31625"/>
    <cellStyle name="Normal 3 2 3 5" xfId="7331"/>
    <cellStyle name="Normal 3 2 3 5 2" xfId="15808"/>
    <cellStyle name="Normal 3 2 3 5 2 2" xfId="29215"/>
    <cellStyle name="Normal 3 2 3 5 3" xfId="31626"/>
    <cellStyle name="Normal 3 2 3 6" xfId="8691"/>
    <cellStyle name="Normal 3 2 3 6 2" xfId="17316"/>
    <cellStyle name="Normal 3 2 3 6 2 2" xfId="30669"/>
    <cellStyle name="Normal 3 2 3 6 3" xfId="23221"/>
    <cellStyle name="Normal 3 2 3 7" xfId="8800"/>
    <cellStyle name="Normal 3 2 3 7 2" xfId="23278"/>
    <cellStyle name="Normal 3 2 3 8" xfId="31622"/>
    <cellStyle name="Normal 3 2 3 9" xfId="32929"/>
    <cellStyle name="Normal 3 2 4" xfId="7332"/>
    <cellStyle name="Normal 3 2 4 10" xfId="32997"/>
    <cellStyle name="Normal 3 2 4 2" xfId="7333"/>
    <cellStyle name="Normal 3 2 4 2 2" xfId="11554"/>
    <cellStyle name="Normal 3 2 4 2 2 2" xfId="25385"/>
    <cellStyle name="Normal 3 2 4 2 3" xfId="31628"/>
    <cellStyle name="Normal 3 2 4 2 4" xfId="32953"/>
    <cellStyle name="Normal 3 2 4 2 5" xfId="33011"/>
    <cellStyle name="Normal 3 2 4 3" xfId="7334"/>
    <cellStyle name="Normal 3 2 4 3 2" xfId="13259"/>
    <cellStyle name="Normal 3 2 4 3 2 2" xfId="26895"/>
    <cellStyle name="Normal 3 2 4 3 3" xfId="31629"/>
    <cellStyle name="Normal 3 2 4 4" xfId="7335"/>
    <cellStyle name="Normal 3 2 4 4 2" xfId="15701"/>
    <cellStyle name="Normal 3 2 4 4 2 2" xfId="29187"/>
    <cellStyle name="Normal 3 2 4 4 3" xfId="31630"/>
    <cellStyle name="Normal 3 2 4 5" xfId="7336"/>
    <cellStyle name="Normal 3 2 4 5 2" xfId="15809"/>
    <cellStyle name="Normal 3 2 4 5 2 2" xfId="29216"/>
    <cellStyle name="Normal 3 2 4 5 3" xfId="31631"/>
    <cellStyle name="Normal 3 2 4 6" xfId="8706"/>
    <cellStyle name="Normal 3 2 4 6 2" xfId="17324"/>
    <cellStyle name="Normal 3 2 4 6 2 2" xfId="30677"/>
    <cellStyle name="Normal 3 2 4 6 3" xfId="23229"/>
    <cellStyle name="Normal 3 2 4 7" xfId="8808"/>
    <cellStyle name="Normal 3 2 4 7 2" xfId="23286"/>
    <cellStyle name="Normal 3 2 4 8" xfId="31627"/>
    <cellStyle name="Normal 3 2 4 9" xfId="32937"/>
    <cellStyle name="Normal 3 2 5" xfId="7337"/>
    <cellStyle name="Normal 3 2 5 10" xfId="32992"/>
    <cellStyle name="Normal 3 2 5 2" xfId="7338"/>
    <cellStyle name="Normal 3 2 5 2 2" xfId="11555"/>
    <cellStyle name="Normal 3 2 5 2 2 2" xfId="25386"/>
    <cellStyle name="Normal 3 2 5 2 3" xfId="31633"/>
    <cellStyle name="Normal 3 2 5 2 4" xfId="32954"/>
    <cellStyle name="Normal 3 2 5 2 5" xfId="33012"/>
    <cellStyle name="Normal 3 2 5 3" xfId="7339"/>
    <cellStyle name="Normal 3 2 5 3 2" xfId="13260"/>
    <cellStyle name="Normal 3 2 5 3 2 2" xfId="26896"/>
    <cellStyle name="Normal 3 2 5 3 3" xfId="31634"/>
    <cellStyle name="Normal 3 2 5 4" xfId="7340"/>
    <cellStyle name="Normal 3 2 5 4 2" xfId="15702"/>
    <cellStyle name="Normal 3 2 5 4 2 2" xfId="29188"/>
    <cellStyle name="Normal 3 2 5 4 3" xfId="31635"/>
    <cellStyle name="Normal 3 2 5 5" xfId="7341"/>
    <cellStyle name="Normal 3 2 5 5 2" xfId="15810"/>
    <cellStyle name="Normal 3 2 5 5 2 2" xfId="29217"/>
    <cellStyle name="Normal 3 2 5 5 3" xfId="31636"/>
    <cellStyle name="Normal 3 2 5 6" xfId="8696"/>
    <cellStyle name="Normal 3 2 5 6 2" xfId="17319"/>
    <cellStyle name="Normal 3 2 5 6 2 2" xfId="30672"/>
    <cellStyle name="Normal 3 2 5 6 3" xfId="23224"/>
    <cellStyle name="Normal 3 2 5 7" xfId="8803"/>
    <cellStyle name="Normal 3 2 5 7 2" xfId="23281"/>
    <cellStyle name="Normal 3 2 5 8" xfId="31632"/>
    <cellStyle name="Normal 3 2 5 9" xfId="32932"/>
    <cellStyle name="Normal 3 2 6" xfId="7342"/>
    <cellStyle name="Normal 3 2 6 2" xfId="8718"/>
    <cellStyle name="Normal 3 2 7" xfId="7343"/>
    <cellStyle name="Normal 3 2 7 2" xfId="7344"/>
    <cellStyle name="Normal 3 2 7 2 2" xfId="10193"/>
    <cellStyle name="Normal 3 2 7 3" xfId="7345"/>
    <cellStyle name="Normal 3 2 7 3 2" xfId="7346"/>
    <cellStyle name="Normal 3 2 7 3 2 2" xfId="13261"/>
    <cellStyle name="Normal 3 2 7 3 3" xfId="11736"/>
    <cellStyle name="Normal 3 2 7 3 3 2" xfId="25452"/>
    <cellStyle name="Normal 3 2 7 4" xfId="10192"/>
    <cellStyle name="Normal 3 2 7 5" xfId="32950"/>
    <cellStyle name="Normal 3 2 7 6" xfId="33008"/>
    <cellStyle name="Normal 3 2 8" xfId="7347"/>
    <cellStyle name="Normal 3 2 8 2" xfId="7348"/>
    <cellStyle name="Normal 3 2 8 2 2" xfId="13262"/>
    <cellStyle name="Normal 3 2 8 3" xfId="10522"/>
    <cellStyle name="Normal 3 2 9" xfId="7349"/>
    <cellStyle name="Normal 3 2 9 2" xfId="7350"/>
    <cellStyle name="Normal 3 2 9 2 2" xfId="13263"/>
    <cellStyle name="Normal 3 2 9 2 2 2" xfId="26897"/>
    <cellStyle name="Normal 3 2 9 2 3" xfId="31638"/>
    <cellStyle name="Normal 3 2 9 3" xfId="7351"/>
    <cellStyle name="Normal 3 2 9 3 2" xfId="15703"/>
    <cellStyle name="Normal 3 2 9 3 2 2" xfId="29189"/>
    <cellStyle name="Normal 3 2 9 3 3" xfId="31639"/>
    <cellStyle name="Normal 3 2 9 4" xfId="11550"/>
    <cellStyle name="Normal 3 2 9 4 2" xfId="25381"/>
    <cellStyle name="Normal 3 2 9 5" xfId="31637"/>
    <cellStyle name="Normal 3 3" xfId="7352"/>
    <cellStyle name="Normal 3 3 10" xfId="7353"/>
    <cellStyle name="Normal 3 3 10 2" xfId="7354"/>
    <cellStyle name="Normal 3 3 10 2 2" xfId="17203"/>
    <cellStyle name="Normal 3 3 10 2 2 2" xfId="30562"/>
    <cellStyle name="Normal 3 3 10 2 3" xfId="31642"/>
    <cellStyle name="Normal 3 3 10 3" xfId="13430"/>
    <cellStyle name="Normal 3 3 10 3 2" xfId="26979"/>
    <cellStyle name="Normal 3 3 10 4" xfId="31641"/>
    <cellStyle name="Normal 3 3 11" xfId="7355"/>
    <cellStyle name="Normal 3 3 11 2" xfId="7356"/>
    <cellStyle name="Normal 3 3 11 2 2" xfId="17292"/>
    <cellStyle name="Normal 3 3 11 2 2 2" xfId="30651"/>
    <cellStyle name="Normal 3 3 11 2 3" xfId="31644"/>
    <cellStyle name="Normal 3 3 11 3" xfId="14011"/>
    <cellStyle name="Normal 3 3 11 3 2" xfId="27560"/>
    <cellStyle name="Normal 3 3 11 4" xfId="31643"/>
    <cellStyle name="Normal 3 3 12" xfId="7357"/>
    <cellStyle name="Normal 3 3 12 2" xfId="7358"/>
    <cellStyle name="Normal 3 3 12 2 2" xfId="16478"/>
    <cellStyle name="Normal 3 3 12 2 2 2" xfId="29885"/>
    <cellStyle name="Normal 3 3 12 2 3" xfId="31646"/>
    <cellStyle name="Normal 3 3 12 3" xfId="15811"/>
    <cellStyle name="Normal 3 3 12 3 2" xfId="29218"/>
    <cellStyle name="Normal 3 3 12 4" xfId="31645"/>
    <cellStyle name="Normal 3 3 13" xfId="7359"/>
    <cellStyle name="Normal 3 3 13 2" xfId="15897"/>
    <cellStyle name="Normal 3 3 13 2 2" xfId="29304"/>
    <cellStyle name="Normal 3 3 13 3" xfId="31647"/>
    <cellStyle name="Normal 3 3 14" xfId="8684"/>
    <cellStyle name="Normal 3 3 14 2" xfId="17309"/>
    <cellStyle name="Normal 3 3 14 2 2" xfId="30662"/>
    <cellStyle name="Normal 3 3 14 3" xfId="23214"/>
    <cellStyle name="Normal 3 3 15" xfId="8793"/>
    <cellStyle name="Normal 3 3 15 2" xfId="23271"/>
    <cellStyle name="Normal 3 3 16" xfId="31640"/>
    <cellStyle name="Normal 3 3 17" xfId="32922"/>
    <cellStyle name="Normal 3 3 18" xfId="32982"/>
    <cellStyle name="Normal 3 3 2" xfId="7360"/>
    <cellStyle name="Normal 3 3 2 10" xfId="10194"/>
    <cellStyle name="Normal 3 3 2 10 2" xfId="24397"/>
    <cellStyle name="Normal 3 3 2 11" xfId="31648"/>
    <cellStyle name="Normal 3 3 2 12" xfId="32955"/>
    <cellStyle name="Normal 3 3 2 13" xfId="33013"/>
    <cellStyle name="Normal 3 3 2 2" xfId="7361"/>
    <cellStyle name="Normal 3 3 2 2 10" xfId="31649"/>
    <cellStyle name="Normal 3 3 2 2 2" xfId="7362"/>
    <cellStyle name="Normal 3 3 2 2 2 2" xfId="7363"/>
    <cellStyle name="Normal 3 3 2 2 2 2 2" xfId="7364"/>
    <cellStyle name="Normal 3 3 2 2 2 2 2 2" xfId="7365"/>
    <cellStyle name="Normal 3 3 2 2 2 2 2 2 2" xfId="16979"/>
    <cellStyle name="Normal 3 3 2 2 2 2 2 2 2 2" xfId="30386"/>
    <cellStyle name="Normal 3 3 2 2 2 2 2 2 3" xfId="31653"/>
    <cellStyle name="Normal 3 3 2 2 2 2 2 3" xfId="11560"/>
    <cellStyle name="Normal 3 3 2 2 2 2 2 3 2" xfId="25391"/>
    <cellStyle name="Normal 3 3 2 2 2 2 2 4" xfId="31652"/>
    <cellStyle name="Normal 3 3 2 2 2 2 3" xfId="7366"/>
    <cellStyle name="Normal 3 3 2 2 2 2 3 2" xfId="12367"/>
    <cellStyle name="Normal 3 3 2 2 2 2 3 2 2" xfId="26079"/>
    <cellStyle name="Normal 3 3 2 2 2 2 3 3" xfId="31654"/>
    <cellStyle name="Normal 3 3 2 2 2 2 4" xfId="7367"/>
    <cellStyle name="Normal 3 3 2 2 2 2 4 2" xfId="13931"/>
    <cellStyle name="Normal 3 3 2 2 2 2 4 2 2" xfId="27480"/>
    <cellStyle name="Normal 3 3 2 2 2 2 4 3" xfId="31655"/>
    <cellStyle name="Normal 3 3 2 2 2 2 5" xfId="7368"/>
    <cellStyle name="Normal 3 3 2 2 2 2 5 2" xfId="14512"/>
    <cellStyle name="Normal 3 3 2 2 2 2 5 2 2" xfId="28061"/>
    <cellStyle name="Normal 3 3 2 2 2 2 5 3" xfId="31656"/>
    <cellStyle name="Normal 3 3 2 2 2 2 6" xfId="7369"/>
    <cellStyle name="Normal 3 3 2 2 2 2 6 2" xfId="16398"/>
    <cellStyle name="Normal 3 3 2 2 2 2 6 2 2" xfId="29805"/>
    <cellStyle name="Normal 3 3 2 2 2 2 6 3" xfId="31657"/>
    <cellStyle name="Normal 3 3 2 2 2 2 7" xfId="10197"/>
    <cellStyle name="Normal 3 3 2 2 2 2 7 2" xfId="24400"/>
    <cellStyle name="Normal 3 3 2 2 2 2 8" xfId="31651"/>
    <cellStyle name="Normal 3 3 2 2 2 3" xfId="7370"/>
    <cellStyle name="Normal 3 3 2 2 2 3 2" xfId="7371"/>
    <cellStyle name="Normal 3 3 2 2 2 3 2 2" xfId="16690"/>
    <cellStyle name="Normal 3 3 2 2 2 3 2 2 2" xfId="30097"/>
    <cellStyle name="Normal 3 3 2 2 2 3 2 3" xfId="31659"/>
    <cellStyle name="Normal 3 3 2 2 2 3 3" xfId="11559"/>
    <cellStyle name="Normal 3 3 2 2 2 3 3 2" xfId="25390"/>
    <cellStyle name="Normal 3 3 2 2 2 3 4" xfId="31658"/>
    <cellStyle name="Normal 3 3 2 2 2 4" xfId="7372"/>
    <cellStyle name="Normal 3 3 2 2 2 4 2" xfId="12067"/>
    <cellStyle name="Normal 3 3 2 2 2 4 2 2" xfId="25782"/>
    <cellStyle name="Normal 3 3 2 2 2 4 3" xfId="31660"/>
    <cellStyle name="Normal 3 3 2 2 2 5" xfId="7373"/>
    <cellStyle name="Normal 3 3 2 2 2 5 2" xfId="13642"/>
    <cellStyle name="Normal 3 3 2 2 2 5 2 2" xfId="27191"/>
    <cellStyle name="Normal 3 3 2 2 2 5 3" xfId="31661"/>
    <cellStyle name="Normal 3 3 2 2 2 6" xfId="7374"/>
    <cellStyle name="Normal 3 3 2 2 2 6 2" xfId="14223"/>
    <cellStyle name="Normal 3 3 2 2 2 6 2 2" xfId="27772"/>
    <cellStyle name="Normal 3 3 2 2 2 6 3" xfId="31662"/>
    <cellStyle name="Normal 3 3 2 2 2 7" xfId="7375"/>
    <cellStyle name="Normal 3 3 2 2 2 7 2" xfId="16109"/>
    <cellStyle name="Normal 3 3 2 2 2 7 2 2" xfId="29516"/>
    <cellStyle name="Normal 3 3 2 2 2 7 3" xfId="31663"/>
    <cellStyle name="Normal 3 3 2 2 2 8" xfId="10196"/>
    <cellStyle name="Normal 3 3 2 2 2 8 2" xfId="24399"/>
    <cellStyle name="Normal 3 3 2 2 2 9" xfId="31650"/>
    <cellStyle name="Normal 3 3 2 2 3" xfId="7376"/>
    <cellStyle name="Normal 3 3 2 2 3 2" xfId="7377"/>
    <cellStyle name="Normal 3 3 2 2 3 2 2" xfId="7378"/>
    <cellStyle name="Normal 3 3 2 2 3 2 2 2" xfId="16836"/>
    <cellStyle name="Normal 3 3 2 2 3 2 2 2 2" xfId="30243"/>
    <cellStyle name="Normal 3 3 2 2 3 2 2 3" xfId="31666"/>
    <cellStyle name="Normal 3 3 2 2 3 2 3" xfId="11561"/>
    <cellStyle name="Normal 3 3 2 2 3 2 3 2" xfId="25392"/>
    <cellStyle name="Normal 3 3 2 2 3 2 4" xfId="31665"/>
    <cellStyle name="Normal 3 3 2 2 3 3" xfId="7379"/>
    <cellStyle name="Normal 3 3 2 2 3 3 2" xfId="12224"/>
    <cellStyle name="Normal 3 3 2 2 3 3 2 2" xfId="25936"/>
    <cellStyle name="Normal 3 3 2 2 3 3 3" xfId="31667"/>
    <cellStyle name="Normal 3 3 2 2 3 4" xfId="7380"/>
    <cellStyle name="Normal 3 3 2 2 3 4 2" xfId="13788"/>
    <cellStyle name="Normal 3 3 2 2 3 4 2 2" xfId="27337"/>
    <cellStyle name="Normal 3 3 2 2 3 4 3" xfId="31668"/>
    <cellStyle name="Normal 3 3 2 2 3 5" xfId="7381"/>
    <cellStyle name="Normal 3 3 2 2 3 5 2" xfId="14369"/>
    <cellStyle name="Normal 3 3 2 2 3 5 2 2" xfId="27918"/>
    <cellStyle name="Normal 3 3 2 2 3 5 3" xfId="31669"/>
    <cellStyle name="Normal 3 3 2 2 3 6" xfId="7382"/>
    <cellStyle name="Normal 3 3 2 2 3 6 2" xfId="16255"/>
    <cellStyle name="Normal 3 3 2 2 3 6 2 2" xfId="29662"/>
    <cellStyle name="Normal 3 3 2 2 3 6 3" xfId="31670"/>
    <cellStyle name="Normal 3 3 2 2 3 7" xfId="10198"/>
    <cellStyle name="Normal 3 3 2 2 3 7 2" xfId="24401"/>
    <cellStyle name="Normal 3 3 2 2 3 8" xfId="31664"/>
    <cellStyle name="Normal 3 3 2 2 4" xfId="7383"/>
    <cellStyle name="Normal 3 3 2 2 4 2" xfId="7384"/>
    <cellStyle name="Normal 3 3 2 2 4 2 2" xfId="17183"/>
    <cellStyle name="Normal 3 3 2 2 4 2 2 2" xfId="30542"/>
    <cellStyle name="Normal 3 3 2 2 4 2 3" xfId="31672"/>
    <cellStyle name="Normal 3 3 2 2 4 3" xfId="11558"/>
    <cellStyle name="Normal 3 3 2 2 4 3 2" xfId="25389"/>
    <cellStyle name="Normal 3 3 2 2 4 4" xfId="31671"/>
    <cellStyle name="Normal 3 3 2 2 5" xfId="7385"/>
    <cellStyle name="Normal 3 3 2 2 5 2" xfId="7386"/>
    <cellStyle name="Normal 3 3 2 2 5 2 2" xfId="17272"/>
    <cellStyle name="Normal 3 3 2 2 5 2 2 2" xfId="30631"/>
    <cellStyle name="Normal 3 3 2 2 5 2 3" xfId="31674"/>
    <cellStyle name="Normal 3 3 2 2 5 3" xfId="11922"/>
    <cellStyle name="Normal 3 3 2 2 5 3 2" xfId="25637"/>
    <cellStyle name="Normal 3 3 2 2 5 4" xfId="31673"/>
    <cellStyle name="Normal 3 3 2 2 6" xfId="7387"/>
    <cellStyle name="Normal 3 3 2 2 6 2" xfId="7388"/>
    <cellStyle name="Normal 3 3 2 2 6 2 2" xfId="16547"/>
    <cellStyle name="Normal 3 3 2 2 6 2 2 2" xfId="29954"/>
    <cellStyle name="Normal 3 3 2 2 6 2 3" xfId="31676"/>
    <cellStyle name="Normal 3 3 2 2 6 3" xfId="13499"/>
    <cellStyle name="Normal 3 3 2 2 6 3 2" xfId="27048"/>
    <cellStyle name="Normal 3 3 2 2 6 4" xfId="31675"/>
    <cellStyle name="Normal 3 3 2 2 7" xfId="7389"/>
    <cellStyle name="Normal 3 3 2 2 7 2" xfId="14080"/>
    <cellStyle name="Normal 3 3 2 2 7 2 2" xfId="27629"/>
    <cellStyle name="Normal 3 3 2 2 7 3" xfId="31677"/>
    <cellStyle name="Normal 3 3 2 2 8" xfId="7390"/>
    <cellStyle name="Normal 3 3 2 2 8 2" xfId="15966"/>
    <cellStyle name="Normal 3 3 2 2 8 2 2" xfId="29373"/>
    <cellStyle name="Normal 3 3 2 2 8 3" xfId="31678"/>
    <cellStyle name="Normal 3 3 2 2 9" xfId="10195"/>
    <cellStyle name="Normal 3 3 2 2 9 2" xfId="24398"/>
    <cellStyle name="Normal 3 3 2 3" xfId="7391"/>
    <cellStyle name="Normal 3 3 2 3 2" xfId="7392"/>
    <cellStyle name="Normal 3 3 2 3 2 2" xfId="7393"/>
    <cellStyle name="Normal 3 3 2 3 2 2 2" xfId="7394"/>
    <cellStyle name="Normal 3 3 2 3 2 2 2 2" xfId="16933"/>
    <cellStyle name="Normal 3 3 2 3 2 2 2 2 2" xfId="30340"/>
    <cellStyle name="Normal 3 3 2 3 2 2 2 3" xfId="31682"/>
    <cellStyle name="Normal 3 3 2 3 2 2 3" xfId="11563"/>
    <cellStyle name="Normal 3 3 2 3 2 2 3 2" xfId="25394"/>
    <cellStyle name="Normal 3 3 2 3 2 2 4" xfId="31681"/>
    <cellStyle name="Normal 3 3 2 3 2 3" xfId="7395"/>
    <cellStyle name="Normal 3 3 2 3 2 3 2" xfId="12321"/>
    <cellStyle name="Normal 3 3 2 3 2 3 2 2" xfId="26033"/>
    <cellStyle name="Normal 3 3 2 3 2 3 3" xfId="31683"/>
    <cellStyle name="Normal 3 3 2 3 2 4" xfId="7396"/>
    <cellStyle name="Normal 3 3 2 3 2 4 2" xfId="13885"/>
    <cellStyle name="Normal 3 3 2 3 2 4 2 2" xfId="27434"/>
    <cellStyle name="Normal 3 3 2 3 2 4 3" xfId="31684"/>
    <cellStyle name="Normal 3 3 2 3 2 5" xfId="7397"/>
    <cellStyle name="Normal 3 3 2 3 2 5 2" xfId="14466"/>
    <cellStyle name="Normal 3 3 2 3 2 5 2 2" xfId="28015"/>
    <cellStyle name="Normal 3 3 2 3 2 5 3" xfId="31685"/>
    <cellStyle name="Normal 3 3 2 3 2 6" xfId="7398"/>
    <cellStyle name="Normal 3 3 2 3 2 6 2" xfId="16352"/>
    <cellStyle name="Normal 3 3 2 3 2 6 2 2" xfId="29759"/>
    <cellStyle name="Normal 3 3 2 3 2 6 3" xfId="31686"/>
    <cellStyle name="Normal 3 3 2 3 2 7" xfId="10200"/>
    <cellStyle name="Normal 3 3 2 3 2 7 2" xfId="24403"/>
    <cellStyle name="Normal 3 3 2 3 2 8" xfId="31680"/>
    <cellStyle name="Normal 3 3 2 3 3" xfId="7399"/>
    <cellStyle name="Normal 3 3 2 3 3 2" xfId="7400"/>
    <cellStyle name="Normal 3 3 2 3 3 2 2" xfId="16644"/>
    <cellStyle name="Normal 3 3 2 3 3 2 2 2" xfId="30051"/>
    <cellStyle name="Normal 3 3 2 3 3 2 3" xfId="31688"/>
    <cellStyle name="Normal 3 3 2 3 3 3" xfId="11562"/>
    <cellStyle name="Normal 3 3 2 3 3 3 2" xfId="25393"/>
    <cellStyle name="Normal 3 3 2 3 3 4" xfId="31687"/>
    <cellStyle name="Normal 3 3 2 3 4" xfId="7401"/>
    <cellStyle name="Normal 3 3 2 3 4 2" xfId="12021"/>
    <cellStyle name="Normal 3 3 2 3 4 2 2" xfId="25736"/>
    <cellStyle name="Normal 3 3 2 3 4 3" xfId="31689"/>
    <cellStyle name="Normal 3 3 2 3 5" xfId="7402"/>
    <cellStyle name="Normal 3 3 2 3 5 2" xfId="13596"/>
    <cellStyle name="Normal 3 3 2 3 5 2 2" xfId="27145"/>
    <cellStyle name="Normal 3 3 2 3 5 3" xfId="31690"/>
    <cellStyle name="Normal 3 3 2 3 6" xfId="7403"/>
    <cellStyle name="Normal 3 3 2 3 6 2" xfId="14177"/>
    <cellStyle name="Normal 3 3 2 3 6 2 2" xfId="27726"/>
    <cellStyle name="Normal 3 3 2 3 6 3" xfId="31691"/>
    <cellStyle name="Normal 3 3 2 3 7" xfId="7404"/>
    <cellStyle name="Normal 3 3 2 3 7 2" xfId="16063"/>
    <cellStyle name="Normal 3 3 2 3 7 2 2" xfId="29470"/>
    <cellStyle name="Normal 3 3 2 3 7 3" xfId="31692"/>
    <cellStyle name="Normal 3 3 2 3 8" xfId="10199"/>
    <cellStyle name="Normal 3 3 2 3 8 2" xfId="24402"/>
    <cellStyle name="Normal 3 3 2 3 9" xfId="31679"/>
    <cellStyle name="Normal 3 3 2 4" xfId="7405"/>
    <cellStyle name="Normal 3 3 2 4 2" xfId="7406"/>
    <cellStyle name="Normal 3 3 2 4 2 2" xfId="7407"/>
    <cellStyle name="Normal 3 3 2 4 2 2 2" xfId="16790"/>
    <cellStyle name="Normal 3 3 2 4 2 2 2 2" xfId="30197"/>
    <cellStyle name="Normal 3 3 2 4 2 2 3" xfId="31695"/>
    <cellStyle name="Normal 3 3 2 4 2 3" xfId="11564"/>
    <cellStyle name="Normal 3 3 2 4 2 3 2" xfId="25395"/>
    <cellStyle name="Normal 3 3 2 4 2 4" xfId="31694"/>
    <cellStyle name="Normal 3 3 2 4 3" xfId="7408"/>
    <cellStyle name="Normal 3 3 2 4 3 2" xfId="12178"/>
    <cellStyle name="Normal 3 3 2 4 3 2 2" xfId="25890"/>
    <cellStyle name="Normal 3 3 2 4 3 3" xfId="31696"/>
    <cellStyle name="Normal 3 3 2 4 4" xfId="7409"/>
    <cellStyle name="Normal 3 3 2 4 4 2" xfId="13742"/>
    <cellStyle name="Normal 3 3 2 4 4 2 2" xfId="27291"/>
    <cellStyle name="Normal 3 3 2 4 4 3" xfId="31697"/>
    <cellStyle name="Normal 3 3 2 4 5" xfId="7410"/>
    <cellStyle name="Normal 3 3 2 4 5 2" xfId="14323"/>
    <cellStyle name="Normal 3 3 2 4 5 2 2" xfId="27872"/>
    <cellStyle name="Normal 3 3 2 4 5 3" xfId="31698"/>
    <cellStyle name="Normal 3 3 2 4 6" xfId="7411"/>
    <cellStyle name="Normal 3 3 2 4 6 2" xfId="16209"/>
    <cellStyle name="Normal 3 3 2 4 6 2 2" xfId="29616"/>
    <cellStyle name="Normal 3 3 2 4 6 3" xfId="31699"/>
    <cellStyle name="Normal 3 3 2 4 7" xfId="10201"/>
    <cellStyle name="Normal 3 3 2 4 7 2" xfId="24404"/>
    <cellStyle name="Normal 3 3 2 4 8" xfId="31693"/>
    <cellStyle name="Normal 3 3 2 5" xfId="7412"/>
    <cellStyle name="Normal 3 3 2 5 2" xfId="7413"/>
    <cellStyle name="Normal 3 3 2 5 2 2" xfId="17043"/>
    <cellStyle name="Normal 3 3 2 5 2 2 2" xfId="30444"/>
    <cellStyle name="Normal 3 3 2 5 2 3" xfId="31701"/>
    <cellStyle name="Normal 3 3 2 5 3" xfId="11557"/>
    <cellStyle name="Normal 3 3 2 5 3 2" xfId="25388"/>
    <cellStyle name="Normal 3 3 2 5 4" xfId="31700"/>
    <cellStyle name="Normal 3 3 2 6" xfId="7414"/>
    <cellStyle name="Normal 3 3 2 6 2" xfId="7415"/>
    <cellStyle name="Normal 3 3 2 6 2 2" xfId="17137"/>
    <cellStyle name="Normal 3 3 2 6 2 2 2" xfId="30496"/>
    <cellStyle name="Normal 3 3 2 6 2 3" xfId="31703"/>
    <cellStyle name="Normal 3 3 2 6 3" xfId="11865"/>
    <cellStyle name="Normal 3 3 2 6 3 2" xfId="25580"/>
    <cellStyle name="Normal 3 3 2 6 4" xfId="31702"/>
    <cellStyle name="Normal 3 3 2 7" xfId="7416"/>
    <cellStyle name="Normal 3 3 2 7 2" xfId="7417"/>
    <cellStyle name="Normal 3 3 2 7 2 2" xfId="17226"/>
    <cellStyle name="Normal 3 3 2 7 2 2 2" xfId="30585"/>
    <cellStyle name="Normal 3 3 2 7 2 3" xfId="31705"/>
    <cellStyle name="Normal 3 3 2 7 3" xfId="13453"/>
    <cellStyle name="Normal 3 3 2 7 3 2" xfId="27002"/>
    <cellStyle name="Normal 3 3 2 7 4" xfId="31704"/>
    <cellStyle name="Normal 3 3 2 8" xfId="7418"/>
    <cellStyle name="Normal 3 3 2 8 2" xfId="7419"/>
    <cellStyle name="Normal 3 3 2 8 2 2" xfId="16501"/>
    <cellStyle name="Normal 3 3 2 8 2 2 2" xfId="29908"/>
    <cellStyle name="Normal 3 3 2 8 2 3" xfId="31707"/>
    <cellStyle name="Normal 3 3 2 8 3" xfId="14034"/>
    <cellStyle name="Normal 3 3 2 8 3 2" xfId="27583"/>
    <cellStyle name="Normal 3 3 2 8 4" xfId="31706"/>
    <cellStyle name="Normal 3 3 2 9" xfId="7420"/>
    <cellStyle name="Normal 3 3 2 9 2" xfId="15920"/>
    <cellStyle name="Normal 3 3 2 9 2 2" xfId="29327"/>
    <cellStyle name="Normal 3 3 2 9 3" xfId="31708"/>
    <cellStyle name="Normal 3 3 3" xfId="7421"/>
    <cellStyle name="Normal 3 3 3 10" xfId="31709"/>
    <cellStyle name="Normal 3 3 3 2" xfId="7422"/>
    <cellStyle name="Normal 3 3 3 2 2" xfId="7423"/>
    <cellStyle name="Normal 3 3 3 2 2 2" xfId="7424"/>
    <cellStyle name="Normal 3 3 3 2 2 2 2" xfId="7425"/>
    <cellStyle name="Normal 3 3 3 2 2 2 2 2" xfId="16956"/>
    <cellStyle name="Normal 3 3 3 2 2 2 2 2 2" xfId="30363"/>
    <cellStyle name="Normal 3 3 3 2 2 2 2 3" xfId="31713"/>
    <cellStyle name="Normal 3 3 3 2 2 2 3" xfId="11567"/>
    <cellStyle name="Normal 3 3 3 2 2 2 3 2" xfId="25398"/>
    <cellStyle name="Normal 3 3 3 2 2 2 4" xfId="31712"/>
    <cellStyle name="Normal 3 3 3 2 2 3" xfId="7426"/>
    <cellStyle name="Normal 3 3 3 2 2 3 2" xfId="12344"/>
    <cellStyle name="Normal 3 3 3 2 2 3 2 2" xfId="26056"/>
    <cellStyle name="Normal 3 3 3 2 2 3 3" xfId="31714"/>
    <cellStyle name="Normal 3 3 3 2 2 4" xfId="7427"/>
    <cellStyle name="Normal 3 3 3 2 2 4 2" xfId="13908"/>
    <cellStyle name="Normal 3 3 3 2 2 4 2 2" xfId="27457"/>
    <cellStyle name="Normal 3 3 3 2 2 4 3" xfId="31715"/>
    <cellStyle name="Normal 3 3 3 2 2 5" xfId="7428"/>
    <cellStyle name="Normal 3 3 3 2 2 5 2" xfId="14489"/>
    <cellStyle name="Normal 3 3 3 2 2 5 2 2" xfId="28038"/>
    <cellStyle name="Normal 3 3 3 2 2 5 3" xfId="31716"/>
    <cellStyle name="Normal 3 3 3 2 2 6" xfId="7429"/>
    <cellStyle name="Normal 3 3 3 2 2 6 2" xfId="16375"/>
    <cellStyle name="Normal 3 3 3 2 2 6 2 2" xfId="29782"/>
    <cellStyle name="Normal 3 3 3 2 2 6 3" xfId="31717"/>
    <cellStyle name="Normal 3 3 3 2 2 7" xfId="10204"/>
    <cellStyle name="Normal 3 3 3 2 2 7 2" xfId="24407"/>
    <cellStyle name="Normal 3 3 3 2 2 8" xfId="31711"/>
    <cellStyle name="Normal 3 3 3 2 3" xfId="7430"/>
    <cellStyle name="Normal 3 3 3 2 3 2" xfId="7431"/>
    <cellStyle name="Normal 3 3 3 2 3 2 2" xfId="16667"/>
    <cellStyle name="Normal 3 3 3 2 3 2 2 2" xfId="30074"/>
    <cellStyle name="Normal 3 3 3 2 3 2 3" xfId="31719"/>
    <cellStyle name="Normal 3 3 3 2 3 3" xfId="11566"/>
    <cellStyle name="Normal 3 3 3 2 3 3 2" xfId="25397"/>
    <cellStyle name="Normal 3 3 3 2 3 4" xfId="31718"/>
    <cellStyle name="Normal 3 3 3 2 4" xfId="7432"/>
    <cellStyle name="Normal 3 3 3 2 4 2" xfId="12044"/>
    <cellStyle name="Normal 3 3 3 2 4 2 2" xfId="25759"/>
    <cellStyle name="Normal 3 3 3 2 4 3" xfId="31720"/>
    <cellStyle name="Normal 3 3 3 2 5" xfId="7433"/>
    <cellStyle name="Normal 3 3 3 2 5 2" xfId="13619"/>
    <cellStyle name="Normal 3 3 3 2 5 2 2" xfId="27168"/>
    <cellStyle name="Normal 3 3 3 2 5 3" xfId="31721"/>
    <cellStyle name="Normal 3 3 3 2 6" xfId="7434"/>
    <cellStyle name="Normal 3 3 3 2 6 2" xfId="14200"/>
    <cellStyle name="Normal 3 3 3 2 6 2 2" xfId="27749"/>
    <cellStyle name="Normal 3 3 3 2 6 3" xfId="31722"/>
    <cellStyle name="Normal 3 3 3 2 7" xfId="7435"/>
    <cellStyle name="Normal 3 3 3 2 7 2" xfId="16086"/>
    <cellStyle name="Normal 3 3 3 2 7 2 2" xfId="29493"/>
    <cellStyle name="Normal 3 3 3 2 7 3" xfId="31723"/>
    <cellStyle name="Normal 3 3 3 2 8" xfId="10203"/>
    <cellStyle name="Normal 3 3 3 2 8 2" xfId="24406"/>
    <cellStyle name="Normal 3 3 3 2 9" xfId="31710"/>
    <cellStyle name="Normal 3 3 3 3" xfId="7436"/>
    <cellStyle name="Normal 3 3 3 3 2" xfId="7437"/>
    <cellStyle name="Normal 3 3 3 3 2 2" xfId="7438"/>
    <cellStyle name="Normal 3 3 3 3 2 2 2" xfId="16813"/>
    <cellStyle name="Normal 3 3 3 3 2 2 2 2" xfId="30220"/>
    <cellStyle name="Normal 3 3 3 3 2 2 3" xfId="31726"/>
    <cellStyle name="Normal 3 3 3 3 2 3" xfId="11568"/>
    <cellStyle name="Normal 3 3 3 3 2 3 2" xfId="25399"/>
    <cellStyle name="Normal 3 3 3 3 2 4" xfId="31725"/>
    <cellStyle name="Normal 3 3 3 3 3" xfId="7439"/>
    <cellStyle name="Normal 3 3 3 3 3 2" xfId="12201"/>
    <cellStyle name="Normal 3 3 3 3 3 2 2" xfId="25913"/>
    <cellStyle name="Normal 3 3 3 3 3 3" xfId="31727"/>
    <cellStyle name="Normal 3 3 3 3 4" xfId="7440"/>
    <cellStyle name="Normal 3 3 3 3 4 2" xfId="13765"/>
    <cellStyle name="Normal 3 3 3 3 4 2 2" xfId="27314"/>
    <cellStyle name="Normal 3 3 3 3 4 3" xfId="31728"/>
    <cellStyle name="Normal 3 3 3 3 5" xfId="7441"/>
    <cellStyle name="Normal 3 3 3 3 5 2" xfId="14346"/>
    <cellStyle name="Normal 3 3 3 3 5 2 2" xfId="27895"/>
    <cellStyle name="Normal 3 3 3 3 5 3" xfId="31729"/>
    <cellStyle name="Normal 3 3 3 3 6" xfId="7442"/>
    <cellStyle name="Normal 3 3 3 3 6 2" xfId="16232"/>
    <cellStyle name="Normal 3 3 3 3 6 2 2" xfId="29639"/>
    <cellStyle name="Normal 3 3 3 3 6 3" xfId="31730"/>
    <cellStyle name="Normal 3 3 3 3 7" xfId="10205"/>
    <cellStyle name="Normal 3 3 3 3 7 2" xfId="24408"/>
    <cellStyle name="Normal 3 3 3 3 8" xfId="31724"/>
    <cellStyle name="Normal 3 3 3 4" xfId="7443"/>
    <cellStyle name="Normal 3 3 3 4 2" xfId="7444"/>
    <cellStyle name="Normal 3 3 3 4 2 2" xfId="17160"/>
    <cellStyle name="Normal 3 3 3 4 2 2 2" xfId="30519"/>
    <cellStyle name="Normal 3 3 3 4 2 3" xfId="31732"/>
    <cellStyle name="Normal 3 3 3 4 3" xfId="11565"/>
    <cellStyle name="Normal 3 3 3 4 3 2" xfId="25396"/>
    <cellStyle name="Normal 3 3 3 4 4" xfId="31731"/>
    <cellStyle name="Normal 3 3 3 5" xfId="7445"/>
    <cellStyle name="Normal 3 3 3 5 2" xfId="7446"/>
    <cellStyle name="Normal 3 3 3 5 2 2" xfId="17249"/>
    <cellStyle name="Normal 3 3 3 5 2 2 2" xfId="30608"/>
    <cellStyle name="Normal 3 3 3 5 2 3" xfId="31734"/>
    <cellStyle name="Normal 3 3 3 5 3" xfId="11899"/>
    <cellStyle name="Normal 3 3 3 5 3 2" xfId="25614"/>
    <cellStyle name="Normal 3 3 3 5 4" xfId="31733"/>
    <cellStyle name="Normal 3 3 3 6" xfId="7447"/>
    <cellStyle name="Normal 3 3 3 6 2" xfId="7448"/>
    <cellStyle name="Normal 3 3 3 6 2 2" xfId="16524"/>
    <cellStyle name="Normal 3 3 3 6 2 2 2" xfId="29931"/>
    <cellStyle name="Normal 3 3 3 6 2 3" xfId="31736"/>
    <cellStyle name="Normal 3 3 3 6 3" xfId="13476"/>
    <cellStyle name="Normal 3 3 3 6 3 2" xfId="27025"/>
    <cellStyle name="Normal 3 3 3 6 4" xfId="31735"/>
    <cellStyle name="Normal 3 3 3 7" xfId="7449"/>
    <cellStyle name="Normal 3 3 3 7 2" xfId="14057"/>
    <cellStyle name="Normal 3 3 3 7 2 2" xfId="27606"/>
    <cellStyle name="Normal 3 3 3 7 3" xfId="31737"/>
    <cellStyle name="Normal 3 3 3 8" xfId="7450"/>
    <cellStyle name="Normal 3 3 3 8 2" xfId="15943"/>
    <cellStyle name="Normal 3 3 3 8 2 2" xfId="29350"/>
    <cellStyle name="Normal 3 3 3 8 3" xfId="31738"/>
    <cellStyle name="Normal 3 3 3 9" xfId="10202"/>
    <cellStyle name="Normal 3 3 3 9 2" xfId="24405"/>
    <cellStyle name="Normal 3 3 4" xfId="7451"/>
    <cellStyle name="Normal 3 3 4 10" xfId="31739"/>
    <cellStyle name="Normal 3 3 4 2" xfId="7452"/>
    <cellStyle name="Normal 3 3 4 2 2" xfId="7453"/>
    <cellStyle name="Normal 3 3 4 2 2 2" xfId="7454"/>
    <cellStyle name="Normal 3 3 4 2 2 2 2" xfId="7455"/>
    <cellStyle name="Normal 3 3 4 2 2 2 2 2" xfId="16999"/>
    <cellStyle name="Normal 3 3 4 2 2 2 2 2 2" xfId="30406"/>
    <cellStyle name="Normal 3 3 4 2 2 2 2 3" xfId="31743"/>
    <cellStyle name="Normal 3 3 4 2 2 2 3" xfId="11571"/>
    <cellStyle name="Normal 3 3 4 2 2 2 3 2" xfId="25402"/>
    <cellStyle name="Normal 3 3 4 2 2 2 4" xfId="31742"/>
    <cellStyle name="Normal 3 3 4 2 2 3" xfId="7456"/>
    <cellStyle name="Normal 3 3 4 2 2 3 2" xfId="12387"/>
    <cellStyle name="Normal 3 3 4 2 2 3 2 2" xfId="26099"/>
    <cellStyle name="Normal 3 3 4 2 2 3 3" xfId="31744"/>
    <cellStyle name="Normal 3 3 4 2 2 4" xfId="7457"/>
    <cellStyle name="Normal 3 3 4 2 2 4 2" xfId="13951"/>
    <cellStyle name="Normal 3 3 4 2 2 4 2 2" xfId="27500"/>
    <cellStyle name="Normal 3 3 4 2 2 4 3" xfId="31745"/>
    <cellStyle name="Normal 3 3 4 2 2 5" xfId="7458"/>
    <cellStyle name="Normal 3 3 4 2 2 5 2" xfId="14532"/>
    <cellStyle name="Normal 3 3 4 2 2 5 2 2" xfId="28081"/>
    <cellStyle name="Normal 3 3 4 2 2 5 3" xfId="31746"/>
    <cellStyle name="Normal 3 3 4 2 2 6" xfId="7459"/>
    <cellStyle name="Normal 3 3 4 2 2 6 2" xfId="16418"/>
    <cellStyle name="Normal 3 3 4 2 2 6 2 2" xfId="29825"/>
    <cellStyle name="Normal 3 3 4 2 2 6 3" xfId="31747"/>
    <cellStyle name="Normal 3 3 4 2 2 7" xfId="10208"/>
    <cellStyle name="Normal 3 3 4 2 2 7 2" xfId="24411"/>
    <cellStyle name="Normal 3 3 4 2 2 8" xfId="31741"/>
    <cellStyle name="Normal 3 3 4 2 3" xfId="7460"/>
    <cellStyle name="Normal 3 3 4 2 3 2" xfId="7461"/>
    <cellStyle name="Normal 3 3 4 2 3 2 2" xfId="16710"/>
    <cellStyle name="Normal 3 3 4 2 3 2 2 2" xfId="30117"/>
    <cellStyle name="Normal 3 3 4 2 3 2 3" xfId="31749"/>
    <cellStyle name="Normal 3 3 4 2 3 3" xfId="11570"/>
    <cellStyle name="Normal 3 3 4 2 3 3 2" xfId="25401"/>
    <cellStyle name="Normal 3 3 4 2 3 4" xfId="31748"/>
    <cellStyle name="Normal 3 3 4 2 4" xfId="7462"/>
    <cellStyle name="Normal 3 3 4 2 4 2" xfId="12087"/>
    <cellStyle name="Normal 3 3 4 2 4 2 2" xfId="25802"/>
    <cellStyle name="Normal 3 3 4 2 4 3" xfId="31750"/>
    <cellStyle name="Normal 3 3 4 2 5" xfId="7463"/>
    <cellStyle name="Normal 3 3 4 2 5 2" xfId="13662"/>
    <cellStyle name="Normal 3 3 4 2 5 2 2" xfId="27211"/>
    <cellStyle name="Normal 3 3 4 2 5 3" xfId="31751"/>
    <cellStyle name="Normal 3 3 4 2 6" xfId="7464"/>
    <cellStyle name="Normal 3 3 4 2 6 2" xfId="14243"/>
    <cellStyle name="Normal 3 3 4 2 6 2 2" xfId="27792"/>
    <cellStyle name="Normal 3 3 4 2 6 3" xfId="31752"/>
    <cellStyle name="Normal 3 3 4 2 7" xfId="7465"/>
    <cellStyle name="Normal 3 3 4 2 7 2" xfId="16129"/>
    <cellStyle name="Normal 3 3 4 2 7 2 2" xfId="29536"/>
    <cellStyle name="Normal 3 3 4 2 7 3" xfId="31753"/>
    <cellStyle name="Normal 3 3 4 2 8" xfId="10207"/>
    <cellStyle name="Normal 3 3 4 2 8 2" xfId="24410"/>
    <cellStyle name="Normal 3 3 4 2 9" xfId="31740"/>
    <cellStyle name="Normal 3 3 4 3" xfId="7466"/>
    <cellStyle name="Normal 3 3 4 3 2" xfId="7467"/>
    <cellStyle name="Normal 3 3 4 3 2 2" xfId="7468"/>
    <cellStyle name="Normal 3 3 4 3 2 2 2" xfId="16856"/>
    <cellStyle name="Normal 3 3 4 3 2 2 2 2" xfId="30263"/>
    <cellStyle name="Normal 3 3 4 3 2 2 3" xfId="31756"/>
    <cellStyle name="Normal 3 3 4 3 2 3" xfId="11572"/>
    <cellStyle name="Normal 3 3 4 3 2 3 2" xfId="25403"/>
    <cellStyle name="Normal 3 3 4 3 2 4" xfId="31755"/>
    <cellStyle name="Normal 3 3 4 3 3" xfId="7469"/>
    <cellStyle name="Normal 3 3 4 3 3 2" xfId="12244"/>
    <cellStyle name="Normal 3 3 4 3 3 2 2" xfId="25956"/>
    <cellStyle name="Normal 3 3 4 3 3 3" xfId="31757"/>
    <cellStyle name="Normal 3 3 4 3 4" xfId="7470"/>
    <cellStyle name="Normal 3 3 4 3 4 2" xfId="13808"/>
    <cellStyle name="Normal 3 3 4 3 4 2 2" xfId="27357"/>
    <cellStyle name="Normal 3 3 4 3 4 3" xfId="31758"/>
    <cellStyle name="Normal 3 3 4 3 5" xfId="7471"/>
    <cellStyle name="Normal 3 3 4 3 5 2" xfId="14389"/>
    <cellStyle name="Normal 3 3 4 3 5 2 2" xfId="27938"/>
    <cellStyle name="Normal 3 3 4 3 5 3" xfId="31759"/>
    <cellStyle name="Normal 3 3 4 3 6" xfId="7472"/>
    <cellStyle name="Normal 3 3 4 3 6 2" xfId="16275"/>
    <cellStyle name="Normal 3 3 4 3 6 2 2" xfId="29682"/>
    <cellStyle name="Normal 3 3 4 3 6 3" xfId="31760"/>
    <cellStyle name="Normal 3 3 4 3 7" xfId="10209"/>
    <cellStyle name="Normal 3 3 4 3 7 2" xfId="24412"/>
    <cellStyle name="Normal 3 3 4 3 8" xfId="31754"/>
    <cellStyle name="Normal 3 3 4 4" xfId="7473"/>
    <cellStyle name="Normal 3 3 4 4 2" xfId="7474"/>
    <cellStyle name="Normal 3 3 4 4 2 2" xfId="16567"/>
    <cellStyle name="Normal 3 3 4 4 2 2 2" xfId="29974"/>
    <cellStyle name="Normal 3 3 4 4 2 3" xfId="31762"/>
    <cellStyle name="Normal 3 3 4 4 3" xfId="11569"/>
    <cellStyle name="Normal 3 3 4 4 3 2" xfId="25400"/>
    <cellStyle name="Normal 3 3 4 4 4" xfId="31761"/>
    <cellStyle name="Normal 3 3 4 5" xfId="7475"/>
    <cellStyle name="Normal 3 3 4 5 2" xfId="11942"/>
    <cellStyle name="Normal 3 3 4 5 2 2" xfId="25657"/>
    <cellStyle name="Normal 3 3 4 5 3" xfId="31763"/>
    <cellStyle name="Normal 3 3 4 6" xfId="7476"/>
    <cellStyle name="Normal 3 3 4 6 2" xfId="13519"/>
    <cellStyle name="Normal 3 3 4 6 2 2" xfId="27068"/>
    <cellStyle name="Normal 3 3 4 6 3" xfId="31764"/>
    <cellStyle name="Normal 3 3 4 7" xfId="7477"/>
    <cellStyle name="Normal 3 3 4 7 2" xfId="14100"/>
    <cellStyle name="Normal 3 3 4 7 2 2" xfId="27649"/>
    <cellStyle name="Normal 3 3 4 7 3" xfId="31765"/>
    <cellStyle name="Normal 3 3 4 8" xfId="7478"/>
    <cellStyle name="Normal 3 3 4 8 2" xfId="15986"/>
    <cellStyle name="Normal 3 3 4 8 2 2" xfId="29393"/>
    <cellStyle name="Normal 3 3 4 8 3" xfId="31766"/>
    <cellStyle name="Normal 3 3 4 9" xfId="10206"/>
    <cellStyle name="Normal 3 3 4 9 2" xfId="24409"/>
    <cellStyle name="Normal 3 3 5" xfId="7479"/>
    <cellStyle name="Normal 3 3 5 2" xfId="7480"/>
    <cellStyle name="Normal 3 3 5 2 2" xfId="7481"/>
    <cellStyle name="Normal 3 3 5 2 2 2" xfId="7482"/>
    <cellStyle name="Normal 3 3 5 2 2 2 2" xfId="16910"/>
    <cellStyle name="Normal 3 3 5 2 2 2 2 2" xfId="30317"/>
    <cellStyle name="Normal 3 3 5 2 2 2 3" xfId="31770"/>
    <cellStyle name="Normal 3 3 5 2 2 3" xfId="11574"/>
    <cellStyle name="Normal 3 3 5 2 2 3 2" xfId="25405"/>
    <cellStyle name="Normal 3 3 5 2 2 4" xfId="31769"/>
    <cellStyle name="Normal 3 3 5 2 3" xfId="7483"/>
    <cellStyle name="Normal 3 3 5 2 3 2" xfId="12298"/>
    <cellStyle name="Normal 3 3 5 2 3 2 2" xfId="26010"/>
    <cellStyle name="Normal 3 3 5 2 3 3" xfId="31771"/>
    <cellStyle name="Normal 3 3 5 2 4" xfId="7484"/>
    <cellStyle name="Normal 3 3 5 2 4 2" xfId="13862"/>
    <cellStyle name="Normal 3 3 5 2 4 2 2" xfId="27411"/>
    <cellStyle name="Normal 3 3 5 2 4 3" xfId="31772"/>
    <cellStyle name="Normal 3 3 5 2 5" xfId="7485"/>
    <cellStyle name="Normal 3 3 5 2 5 2" xfId="14443"/>
    <cellStyle name="Normal 3 3 5 2 5 2 2" xfId="27992"/>
    <cellStyle name="Normal 3 3 5 2 5 3" xfId="31773"/>
    <cellStyle name="Normal 3 3 5 2 6" xfId="7486"/>
    <cellStyle name="Normal 3 3 5 2 6 2" xfId="16329"/>
    <cellStyle name="Normal 3 3 5 2 6 2 2" xfId="29736"/>
    <cellStyle name="Normal 3 3 5 2 6 3" xfId="31774"/>
    <cellStyle name="Normal 3 3 5 2 7" xfId="10211"/>
    <cellStyle name="Normal 3 3 5 2 7 2" xfId="24414"/>
    <cellStyle name="Normal 3 3 5 2 8" xfId="31768"/>
    <cellStyle name="Normal 3 3 5 3" xfId="7487"/>
    <cellStyle name="Normal 3 3 5 3 2" xfId="7488"/>
    <cellStyle name="Normal 3 3 5 3 2 2" xfId="16621"/>
    <cellStyle name="Normal 3 3 5 3 2 2 2" xfId="30028"/>
    <cellStyle name="Normal 3 3 5 3 2 3" xfId="31776"/>
    <cellStyle name="Normal 3 3 5 3 3" xfId="11573"/>
    <cellStyle name="Normal 3 3 5 3 3 2" xfId="25404"/>
    <cellStyle name="Normal 3 3 5 3 4" xfId="31775"/>
    <cellStyle name="Normal 3 3 5 4" xfId="7489"/>
    <cellStyle name="Normal 3 3 5 4 2" xfId="11998"/>
    <cellStyle name="Normal 3 3 5 4 2 2" xfId="25713"/>
    <cellStyle name="Normal 3 3 5 4 3" xfId="31777"/>
    <cellStyle name="Normal 3 3 5 5" xfId="7490"/>
    <cellStyle name="Normal 3 3 5 5 2" xfId="13573"/>
    <cellStyle name="Normal 3 3 5 5 2 2" xfId="27122"/>
    <cellStyle name="Normal 3 3 5 5 3" xfId="31778"/>
    <cellStyle name="Normal 3 3 5 6" xfId="7491"/>
    <cellStyle name="Normal 3 3 5 6 2" xfId="14154"/>
    <cellStyle name="Normal 3 3 5 6 2 2" xfId="27703"/>
    <cellStyle name="Normal 3 3 5 6 3" xfId="31779"/>
    <cellStyle name="Normal 3 3 5 7" xfId="7492"/>
    <cellStyle name="Normal 3 3 5 7 2" xfId="16040"/>
    <cellStyle name="Normal 3 3 5 7 2 2" xfId="29447"/>
    <cellStyle name="Normal 3 3 5 7 3" xfId="31780"/>
    <cellStyle name="Normal 3 3 5 8" xfId="10210"/>
    <cellStyle name="Normal 3 3 5 8 2" xfId="24413"/>
    <cellStyle name="Normal 3 3 5 9" xfId="31767"/>
    <cellStyle name="Normal 3 3 6" xfId="7493"/>
    <cellStyle name="Normal 3 3 6 2" xfId="7494"/>
    <cellStyle name="Normal 3 3 6 2 2" xfId="7495"/>
    <cellStyle name="Normal 3 3 6 2 2 2" xfId="16733"/>
    <cellStyle name="Normal 3 3 6 2 2 2 2" xfId="30140"/>
    <cellStyle name="Normal 3 3 6 2 2 3" xfId="31783"/>
    <cellStyle name="Normal 3 3 6 2 3" xfId="11575"/>
    <cellStyle name="Normal 3 3 6 2 3 2" xfId="25406"/>
    <cellStyle name="Normal 3 3 6 2 4" xfId="31782"/>
    <cellStyle name="Normal 3 3 6 3" xfId="7496"/>
    <cellStyle name="Normal 3 3 6 3 2" xfId="12121"/>
    <cellStyle name="Normal 3 3 6 3 2 2" xfId="25833"/>
    <cellStyle name="Normal 3 3 6 3 3" xfId="31784"/>
    <cellStyle name="Normal 3 3 6 4" xfId="7497"/>
    <cellStyle name="Normal 3 3 6 4 2" xfId="13685"/>
    <cellStyle name="Normal 3 3 6 4 2 2" xfId="27234"/>
    <cellStyle name="Normal 3 3 6 4 3" xfId="31785"/>
    <cellStyle name="Normal 3 3 6 5" xfId="7498"/>
    <cellStyle name="Normal 3 3 6 5 2" xfId="14266"/>
    <cellStyle name="Normal 3 3 6 5 2 2" xfId="27815"/>
    <cellStyle name="Normal 3 3 6 5 3" xfId="31786"/>
    <cellStyle name="Normal 3 3 6 6" xfId="7499"/>
    <cellStyle name="Normal 3 3 6 6 2" xfId="16152"/>
    <cellStyle name="Normal 3 3 6 6 2 2" xfId="29559"/>
    <cellStyle name="Normal 3 3 6 6 3" xfId="31787"/>
    <cellStyle name="Normal 3 3 6 7" xfId="10212"/>
    <cellStyle name="Normal 3 3 6 7 2" xfId="24415"/>
    <cellStyle name="Normal 3 3 6 8" xfId="31781"/>
    <cellStyle name="Normal 3 3 7" xfId="7500"/>
    <cellStyle name="Normal 3 3 7 2" xfId="7501"/>
    <cellStyle name="Normal 3 3 7 2 2" xfId="7502"/>
    <cellStyle name="Normal 3 3 7 2 2 2" xfId="17006"/>
    <cellStyle name="Normal 3 3 7 2 2 2 2" xfId="30413"/>
    <cellStyle name="Normal 3 3 7 2 2 3" xfId="31790"/>
    <cellStyle name="Normal 3 3 7 2 3" xfId="11576"/>
    <cellStyle name="Normal 3 3 7 2 3 2" xfId="25407"/>
    <cellStyle name="Normal 3 3 7 2 4" xfId="31789"/>
    <cellStyle name="Normal 3 3 7 3" xfId="7503"/>
    <cellStyle name="Normal 3 3 7 3 2" xfId="12395"/>
    <cellStyle name="Normal 3 3 7 3 2 2" xfId="26107"/>
    <cellStyle name="Normal 3 3 7 3 3" xfId="31791"/>
    <cellStyle name="Normal 3 3 7 4" xfId="7504"/>
    <cellStyle name="Normal 3 3 7 4 2" xfId="13958"/>
    <cellStyle name="Normal 3 3 7 4 2 2" xfId="27507"/>
    <cellStyle name="Normal 3 3 7 4 3" xfId="31792"/>
    <cellStyle name="Normal 3 3 7 5" xfId="7505"/>
    <cellStyle name="Normal 3 3 7 5 2" xfId="14539"/>
    <cellStyle name="Normal 3 3 7 5 2 2" xfId="28088"/>
    <cellStyle name="Normal 3 3 7 5 3" xfId="31793"/>
    <cellStyle name="Normal 3 3 7 6" xfId="7506"/>
    <cellStyle name="Normal 3 3 7 6 2" xfId="16425"/>
    <cellStyle name="Normal 3 3 7 6 2 2" xfId="29832"/>
    <cellStyle name="Normal 3 3 7 6 3" xfId="31794"/>
    <cellStyle name="Normal 3 3 7 7" xfId="10213"/>
    <cellStyle name="Normal 3 3 7 7 2" xfId="24416"/>
    <cellStyle name="Normal 3 3 7 8" xfId="31788"/>
    <cellStyle name="Normal 3 3 8" xfId="7507"/>
    <cellStyle name="Normal 3 3 8 2" xfId="7508"/>
    <cellStyle name="Normal 3 3 8 2 2" xfId="17042"/>
    <cellStyle name="Normal 3 3 8 2 2 2" xfId="30443"/>
    <cellStyle name="Normal 3 3 8 2 3" xfId="31796"/>
    <cellStyle name="Normal 3 3 8 3" xfId="11556"/>
    <cellStyle name="Normal 3 3 8 3 2" xfId="25387"/>
    <cellStyle name="Normal 3 3 8 4" xfId="31795"/>
    <cellStyle name="Normal 3 3 9" xfId="7509"/>
    <cellStyle name="Normal 3 3 9 2" xfId="7510"/>
    <cellStyle name="Normal 3 3 9 2 2" xfId="17114"/>
    <cellStyle name="Normal 3 3 9 2 2 2" xfId="30473"/>
    <cellStyle name="Normal 3 3 9 2 3" xfId="31798"/>
    <cellStyle name="Normal 3 3 9 3" xfId="11829"/>
    <cellStyle name="Normal 3 3 9 3 2" xfId="25544"/>
    <cellStyle name="Normal 3 3 9 4" xfId="31797"/>
    <cellStyle name="Normal 3 4" xfId="7511"/>
    <cellStyle name="Normal 3 4 10" xfId="31799"/>
    <cellStyle name="Normal 3 4 11" xfId="32926"/>
    <cellStyle name="Normal 3 4 12" xfId="32986"/>
    <cellStyle name="Normal 3 4 2" xfId="7512"/>
    <cellStyle name="Normal 3 4 2 10" xfId="33014"/>
    <cellStyle name="Normal 3 4 2 2" xfId="7513"/>
    <cellStyle name="Normal 3 4 2 2 2" xfId="7514"/>
    <cellStyle name="Normal 3 4 2 2 2 2" xfId="17001"/>
    <cellStyle name="Normal 3 4 2 2 2 2 2" xfId="30408"/>
    <cellStyle name="Normal 3 4 2 2 2 3" xfId="31802"/>
    <cellStyle name="Normal 3 4 2 2 3" xfId="11578"/>
    <cellStyle name="Normal 3 4 2 2 3 2" xfId="25409"/>
    <cellStyle name="Normal 3 4 2 2 4" xfId="31801"/>
    <cellStyle name="Normal 3 4 2 3" xfId="7515"/>
    <cellStyle name="Normal 3 4 2 3 2" xfId="12389"/>
    <cellStyle name="Normal 3 4 2 3 2 2" xfId="26101"/>
    <cellStyle name="Normal 3 4 2 3 3" xfId="31803"/>
    <cellStyle name="Normal 3 4 2 4" xfId="7516"/>
    <cellStyle name="Normal 3 4 2 4 2" xfId="13953"/>
    <cellStyle name="Normal 3 4 2 4 2 2" xfId="27502"/>
    <cellStyle name="Normal 3 4 2 4 3" xfId="31804"/>
    <cellStyle name="Normal 3 4 2 5" xfId="7517"/>
    <cellStyle name="Normal 3 4 2 5 2" xfId="14534"/>
    <cellStyle name="Normal 3 4 2 5 2 2" xfId="28083"/>
    <cellStyle name="Normal 3 4 2 5 3" xfId="31805"/>
    <cellStyle name="Normal 3 4 2 6" xfId="7518"/>
    <cellStyle name="Normal 3 4 2 6 2" xfId="16420"/>
    <cellStyle name="Normal 3 4 2 6 2 2" xfId="29827"/>
    <cellStyle name="Normal 3 4 2 6 3" xfId="31806"/>
    <cellStyle name="Normal 3 4 2 7" xfId="10214"/>
    <cellStyle name="Normal 3 4 2 7 2" xfId="24417"/>
    <cellStyle name="Normal 3 4 2 8" xfId="31800"/>
    <cellStyle name="Normal 3 4 2 9" xfId="32956"/>
    <cellStyle name="Normal 3 4 3" xfId="7519"/>
    <cellStyle name="Normal 3 4 3 2" xfId="7520"/>
    <cellStyle name="Normal 3 4 3 2 2" xfId="17044"/>
    <cellStyle name="Normal 3 4 3 2 2 2" xfId="30445"/>
    <cellStyle name="Normal 3 4 3 2 3" xfId="31808"/>
    <cellStyle name="Normal 3 4 3 3" xfId="10215"/>
    <cellStyle name="Normal 3 4 3 4" xfId="31807"/>
    <cellStyle name="Normal 3 4 4" xfId="7521"/>
    <cellStyle name="Normal 3 4 4 2" xfId="11577"/>
    <cellStyle name="Normal 3 4 4 2 2" xfId="25408"/>
    <cellStyle name="Normal 3 4 4 3" xfId="31809"/>
    <cellStyle name="Normal 3 4 5" xfId="7522"/>
    <cellStyle name="Normal 3 4 5 2" xfId="13264"/>
    <cellStyle name="Normal 3 4 5 2 2" xfId="26898"/>
    <cellStyle name="Normal 3 4 5 3" xfId="31810"/>
    <cellStyle name="Normal 3 4 6" xfId="7523"/>
    <cellStyle name="Normal 3 4 6 2" xfId="15704"/>
    <cellStyle name="Normal 3 4 6 2 2" xfId="29190"/>
    <cellStyle name="Normal 3 4 6 3" xfId="31811"/>
    <cellStyle name="Normal 3 4 7" xfId="7524"/>
    <cellStyle name="Normal 3 4 7 2" xfId="15812"/>
    <cellStyle name="Normal 3 4 7 2 2" xfId="29219"/>
    <cellStyle name="Normal 3 4 7 3" xfId="31812"/>
    <cellStyle name="Normal 3 4 8" xfId="8688"/>
    <cellStyle name="Normal 3 4 8 2" xfId="17313"/>
    <cellStyle name="Normal 3 4 8 2 2" xfId="30666"/>
    <cellStyle name="Normal 3 4 8 3" xfId="23218"/>
    <cellStyle name="Normal 3 4 9" xfId="8797"/>
    <cellStyle name="Normal 3 4 9 2" xfId="23275"/>
    <cellStyle name="Normal 3 5" xfId="7525"/>
    <cellStyle name="Normal 3 5 10" xfId="32994"/>
    <cellStyle name="Normal 3 5 2" xfId="7526"/>
    <cellStyle name="Normal 3 5 2 2" xfId="11579"/>
    <cellStyle name="Normal 3 5 2 2 2" xfId="25410"/>
    <cellStyle name="Normal 3 5 2 3" xfId="31814"/>
    <cellStyle name="Normal 3 5 2 4" xfId="32957"/>
    <cellStyle name="Normal 3 5 2 5" xfId="33015"/>
    <cellStyle name="Normal 3 5 3" xfId="7527"/>
    <cellStyle name="Normal 3 5 3 2" xfId="13265"/>
    <cellStyle name="Normal 3 5 3 2 2" xfId="26899"/>
    <cellStyle name="Normal 3 5 3 3" xfId="31815"/>
    <cellStyle name="Normal 3 5 4" xfId="7528"/>
    <cellStyle name="Normal 3 5 4 2" xfId="15705"/>
    <cellStyle name="Normal 3 5 4 2 2" xfId="29191"/>
    <cellStyle name="Normal 3 5 4 3" xfId="31816"/>
    <cellStyle name="Normal 3 5 5" xfId="7529"/>
    <cellStyle name="Normal 3 5 5 2" xfId="15813"/>
    <cellStyle name="Normal 3 5 5 2 2" xfId="29220"/>
    <cellStyle name="Normal 3 5 5 3" xfId="31817"/>
    <cellStyle name="Normal 3 5 6" xfId="8703"/>
    <cellStyle name="Normal 3 5 6 2" xfId="17321"/>
    <cellStyle name="Normal 3 5 6 2 2" xfId="30674"/>
    <cellStyle name="Normal 3 5 6 3" xfId="23226"/>
    <cellStyle name="Normal 3 5 7" xfId="8805"/>
    <cellStyle name="Normal 3 5 7 2" xfId="23283"/>
    <cellStyle name="Normal 3 5 8" xfId="31813"/>
    <cellStyle name="Normal 3 5 9" xfId="32934"/>
    <cellStyle name="Normal 3 6" xfId="7530"/>
    <cellStyle name="Normal 3 6 10" xfId="32993"/>
    <cellStyle name="Normal 3 6 2" xfId="7531"/>
    <cellStyle name="Normal 3 6 2 2" xfId="11580"/>
    <cellStyle name="Normal 3 6 2 2 2" xfId="25411"/>
    <cellStyle name="Normal 3 6 2 3" xfId="31819"/>
    <cellStyle name="Normal 3 6 2 4" xfId="32958"/>
    <cellStyle name="Normal 3 6 2 5" xfId="33016"/>
    <cellStyle name="Normal 3 6 3" xfId="7532"/>
    <cellStyle name="Normal 3 6 3 2" xfId="13266"/>
    <cellStyle name="Normal 3 6 3 2 2" xfId="26900"/>
    <cellStyle name="Normal 3 6 3 3" xfId="31820"/>
    <cellStyle name="Normal 3 6 4" xfId="7533"/>
    <cellStyle name="Normal 3 6 4 2" xfId="15706"/>
    <cellStyle name="Normal 3 6 4 2 2" xfId="29192"/>
    <cellStyle name="Normal 3 6 4 3" xfId="31821"/>
    <cellStyle name="Normal 3 6 5" xfId="7534"/>
    <cellStyle name="Normal 3 6 5 2" xfId="15814"/>
    <cellStyle name="Normal 3 6 5 2 2" xfId="29221"/>
    <cellStyle name="Normal 3 6 5 3" xfId="31822"/>
    <cellStyle name="Normal 3 6 6" xfId="8701"/>
    <cellStyle name="Normal 3 6 6 2" xfId="17320"/>
    <cellStyle name="Normal 3 6 6 2 2" xfId="30673"/>
    <cellStyle name="Normal 3 6 6 3" xfId="23225"/>
    <cellStyle name="Normal 3 6 7" xfId="8804"/>
    <cellStyle name="Normal 3 6 7 2" xfId="23282"/>
    <cellStyle name="Normal 3 6 8" xfId="31818"/>
    <cellStyle name="Normal 3 6 9" xfId="32933"/>
    <cellStyle name="Normal 3 7" xfId="7535"/>
    <cellStyle name="Normal 3 7 10" xfId="32999"/>
    <cellStyle name="Normal 3 7 2" xfId="7536"/>
    <cellStyle name="Normal 3 7 2 2" xfId="11581"/>
    <cellStyle name="Normal 3 7 2 2 2" xfId="25412"/>
    <cellStyle name="Normal 3 7 2 3" xfId="31824"/>
    <cellStyle name="Normal 3 7 2 4" xfId="32959"/>
    <cellStyle name="Normal 3 7 2 5" xfId="33017"/>
    <cellStyle name="Normal 3 7 3" xfId="7537"/>
    <cellStyle name="Normal 3 7 3 2" xfId="13267"/>
    <cellStyle name="Normal 3 7 3 2 2" xfId="26901"/>
    <cellStyle name="Normal 3 7 3 3" xfId="31825"/>
    <cellStyle name="Normal 3 7 4" xfId="7538"/>
    <cellStyle name="Normal 3 7 4 2" xfId="15707"/>
    <cellStyle name="Normal 3 7 4 2 2" xfId="29193"/>
    <cellStyle name="Normal 3 7 4 3" xfId="31826"/>
    <cellStyle name="Normal 3 7 5" xfId="7539"/>
    <cellStyle name="Normal 3 7 5 2" xfId="15815"/>
    <cellStyle name="Normal 3 7 5 2 2" xfId="29222"/>
    <cellStyle name="Normal 3 7 5 3" xfId="31827"/>
    <cellStyle name="Normal 3 7 6" xfId="8714"/>
    <cellStyle name="Normal 3 7 6 2" xfId="17326"/>
    <cellStyle name="Normal 3 7 6 2 2" xfId="30679"/>
    <cellStyle name="Normal 3 7 6 3" xfId="23233"/>
    <cellStyle name="Normal 3 7 7" xfId="8810"/>
    <cellStyle name="Normal 3 7 7 2" xfId="23288"/>
    <cellStyle name="Normal 3 7 8" xfId="31823"/>
    <cellStyle name="Normal 3 7 9" xfId="32940"/>
    <cellStyle name="Normal 3 8" xfId="7540"/>
    <cellStyle name="Normal 3 8 10" xfId="33000"/>
    <cellStyle name="Normal 3 8 2" xfId="7541"/>
    <cellStyle name="Normal 3 8 2 2" xfId="11582"/>
    <cellStyle name="Normal 3 8 2 2 2" xfId="25413"/>
    <cellStyle name="Normal 3 8 2 3" xfId="31829"/>
    <cellStyle name="Normal 3 8 2 4" xfId="32960"/>
    <cellStyle name="Normal 3 8 2 5" xfId="33018"/>
    <cellStyle name="Normal 3 8 3" xfId="7542"/>
    <cellStyle name="Normal 3 8 3 2" xfId="13268"/>
    <cellStyle name="Normal 3 8 3 2 2" xfId="26902"/>
    <cellStyle name="Normal 3 8 3 3" xfId="31830"/>
    <cellStyle name="Normal 3 8 4" xfId="7543"/>
    <cellStyle name="Normal 3 8 4 2" xfId="15708"/>
    <cellStyle name="Normal 3 8 4 2 2" xfId="29194"/>
    <cellStyle name="Normal 3 8 4 3" xfId="31831"/>
    <cellStyle name="Normal 3 8 5" xfId="7544"/>
    <cellStyle name="Normal 3 8 5 2" xfId="15816"/>
    <cellStyle name="Normal 3 8 5 2 2" xfId="29223"/>
    <cellStyle name="Normal 3 8 5 3" xfId="31832"/>
    <cellStyle name="Normal 3 8 6" xfId="8716"/>
    <cellStyle name="Normal 3 8 6 2" xfId="17327"/>
    <cellStyle name="Normal 3 8 6 2 2" xfId="30680"/>
    <cellStyle name="Normal 3 8 6 3" xfId="23234"/>
    <cellStyle name="Normal 3 8 7" xfId="8811"/>
    <cellStyle name="Normal 3 8 7 2" xfId="23289"/>
    <cellStyle name="Normal 3 8 8" xfId="31828"/>
    <cellStyle name="Normal 3 8 9" xfId="32941"/>
    <cellStyle name="Normal 3 9" xfId="7545"/>
    <cellStyle name="Normal 3 9 10" xfId="33001"/>
    <cellStyle name="Normal 3 9 2" xfId="7546"/>
    <cellStyle name="Normal 3 9 2 2" xfId="11583"/>
    <cellStyle name="Normal 3 9 2 2 2" xfId="25414"/>
    <cellStyle name="Normal 3 9 2 3" xfId="31834"/>
    <cellStyle name="Normal 3 9 2 4" xfId="32961"/>
    <cellStyle name="Normal 3 9 2 5" xfId="33019"/>
    <cellStyle name="Normal 3 9 3" xfId="7547"/>
    <cellStyle name="Normal 3 9 3 2" xfId="13269"/>
    <cellStyle name="Normal 3 9 3 2 2" xfId="26903"/>
    <cellStyle name="Normal 3 9 3 3" xfId="31835"/>
    <cellStyle name="Normal 3 9 4" xfId="7548"/>
    <cellStyle name="Normal 3 9 4 2" xfId="15709"/>
    <cellStyle name="Normal 3 9 4 2 2" xfId="29195"/>
    <cellStyle name="Normal 3 9 4 3" xfId="31836"/>
    <cellStyle name="Normal 3 9 5" xfId="7549"/>
    <cellStyle name="Normal 3 9 5 2" xfId="15817"/>
    <cellStyle name="Normal 3 9 5 2 2" xfId="29224"/>
    <cellStyle name="Normal 3 9 5 3" xfId="31837"/>
    <cellStyle name="Normal 3 9 6" xfId="8717"/>
    <cellStyle name="Normal 3 9 6 2" xfId="17328"/>
    <cellStyle name="Normal 3 9 6 2 2" xfId="30681"/>
    <cellStyle name="Normal 3 9 6 3" xfId="23235"/>
    <cellStyle name="Normal 3 9 7" xfId="8812"/>
    <cellStyle name="Normal 3 9 7 2" xfId="23290"/>
    <cellStyle name="Normal 3 9 8" xfId="31833"/>
    <cellStyle name="Normal 3 9 9" xfId="32942"/>
    <cellStyle name="Normal 30" xfId="33111"/>
    <cellStyle name="Normal 34" xfId="7550"/>
    <cellStyle name="Normal 34 2" xfId="17045"/>
    <cellStyle name="Normal 34 3" xfId="31838"/>
    <cellStyle name="Normal 4" xfId="7551"/>
    <cellStyle name="Normal 4 10" xfId="8790"/>
    <cellStyle name="Normal 4 10 2" xfId="23268"/>
    <cellStyle name="Normal 4 11" xfId="32912"/>
    <cellStyle name="Normal 4 12" xfId="32975"/>
    <cellStyle name="Normal 4 2" xfId="7552"/>
    <cellStyle name="Normal 4 2 10" xfId="8794"/>
    <cellStyle name="Normal 4 2 10 2" xfId="23272"/>
    <cellStyle name="Normal 4 2 11" xfId="32923"/>
    <cellStyle name="Normal 4 2 12" xfId="32983"/>
    <cellStyle name="Normal 4 2 13" xfId="33040"/>
    <cellStyle name="Normal 4 2 2" xfId="7553"/>
    <cellStyle name="Normal 4 2 2 2" xfId="7554"/>
    <cellStyle name="Normal 4 2 2 2 2" xfId="11730"/>
    <cellStyle name="Normal 4 2 2 2 2 2" xfId="25449"/>
    <cellStyle name="Normal 4 2 2 2 3" xfId="31839"/>
    <cellStyle name="Normal 4 2 2 3" xfId="7555"/>
    <cellStyle name="Normal 4 2 2 3 2" xfId="17046"/>
    <cellStyle name="Normal 4 2 2 3 2 2" xfId="30446"/>
    <cellStyle name="Normal 4 2 2 3 3" xfId="31840"/>
    <cellStyle name="Normal 4 2 2 4" xfId="10216"/>
    <cellStyle name="Normal 4 2 2 5" xfId="32963"/>
    <cellStyle name="Normal 4 2 2 6" xfId="33021"/>
    <cellStyle name="Normal 4 2 3" xfId="7556"/>
    <cellStyle name="Normal 4 2 3 2" xfId="7557"/>
    <cellStyle name="Normal 4 2 3 2 2" xfId="10218"/>
    <cellStyle name="Normal 4 2 3 3" xfId="7558"/>
    <cellStyle name="Normal 4 2 3 3 2" xfId="13271"/>
    <cellStyle name="Normal 4 2 3 4" xfId="10217"/>
    <cellStyle name="Normal 4 2 4" xfId="7559"/>
    <cellStyle name="Normal 4 2 4 2" xfId="7560"/>
    <cellStyle name="Normal 4 2 4 2 2" xfId="13272"/>
    <cellStyle name="Normal 4 2 4 3" xfId="10523"/>
    <cellStyle name="Normal 4 2 5" xfId="7561"/>
    <cellStyle name="Normal 4 2 5 2" xfId="7562"/>
    <cellStyle name="Normal 4 2 5 2 2" xfId="13273"/>
    <cellStyle name="Normal 4 2 5 2 2 2" xfId="26905"/>
    <cellStyle name="Normal 4 2 5 2 3" xfId="31842"/>
    <cellStyle name="Normal 4 2 5 3" xfId="7563"/>
    <cellStyle name="Normal 4 2 5 3 2" xfId="15711"/>
    <cellStyle name="Normal 4 2 5 3 2 2" xfId="29197"/>
    <cellStyle name="Normal 4 2 5 3 3" xfId="31843"/>
    <cellStyle name="Normal 4 2 5 4" xfId="11585"/>
    <cellStyle name="Normal 4 2 5 4 2" xfId="25416"/>
    <cellStyle name="Normal 4 2 5 5" xfId="31841"/>
    <cellStyle name="Normal 4 2 6" xfId="7564"/>
    <cellStyle name="Normal 4 2 6 2" xfId="13270"/>
    <cellStyle name="Normal 4 2 6 2 2" xfId="26904"/>
    <cellStyle name="Normal 4 2 6 3" xfId="31844"/>
    <cellStyle name="Normal 4 2 7" xfId="7565"/>
    <cellStyle name="Normal 4 2 7 2" xfId="15710"/>
    <cellStyle name="Normal 4 2 7 2 2" xfId="29196"/>
    <cellStyle name="Normal 4 2 7 3" xfId="31845"/>
    <cellStyle name="Normal 4 2 8" xfId="7566"/>
    <cellStyle name="Normal 4 2 8 2" xfId="15819"/>
    <cellStyle name="Normal 4 2 8 2 2" xfId="29226"/>
    <cellStyle name="Normal 4 2 8 3" xfId="31846"/>
    <cellStyle name="Normal 4 2 9" xfId="8685"/>
    <cellStyle name="Normal 4 2 9 2" xfId="17310"/>
    <cellStyle name="Normal 4 2 9 2 2" xfId="30663"/>
    <cellStyle name="Normal 4 2 9 3" xfId="23215"/>
    <cellStyle name="Normal 4 3" xfId="7567"/>
    <cellStyle name="Normal 4 3 10" xfId="8798"/>
    <cellStyle name="Normal 4 3 10 2" xfId="23276"/>
    <cellStyle name="Normal 4 3 11" xfId="32927"/>
    <cellStyle name="Normal 4 3 12" xfId="32987"/>
    <cellStyle name="Normal 4 3 2" xfId="7568"/>
    <cellStyle name="Normal 4 3 2 2" xfId="7569"/>
    <cellStyle name="Normal 4 3 2 2 2" xfId="11731"/>
    <cellStyle name="Normal 4 3 2 2 2 2" xfId="25450"/>
    <cellStyle name="Normal 4 3 2 2 3" xfId="31847"/>
    <cellStyle name="Normal 4 3 2 3" xfId="7570"/>
    <cellStyle name="Normal 4 3 2 3 2" xfId="17047"/>
    <cellStyle name="Normal 4 3 2 3 2 2" xfId="30447"/>
    <cellStyle name="Normal 4 3 2 3 3" xfId="31848"/>
    <cellStyle name="Normal 4 3 2 4" xfId="10219"/>
    <cellStyle name="Normal 4 3 2 5" xfId="32964"/>
    <cellStyle name="Normal 4 3 2 6" xfId="33022"/>
    <cellStyle name="Normal 4 3 3" xfId="7571"/>
    <cellStyle name="Normal 4 3 3 2" xfId="7572"/>
    <cellStyle name="Normal 4 3 3 2 2" xfId="10221"/>
    <cellStyle name="Normal 4 3 3 3" xfId="7573"/>
    <cellStyle name="Normal 4 3 3 3 2" xfId="13275"/>
    <cellStyle name="Normal 4 3 3 4" xfId="10220"/>
    <cellStyle name="Normal 4 3 4" xfId="7574"/>
    <cellStyle name="Normal 4 3 4 2" xfId="7575"/>
    <cellStyle name="Normal 4 3 4 2 2" xfId="13276"/>
    <cellStyle name="Normal 4 3 4 3" xfId="10524"/>
    <cellStyle name="Normal 4 3 5" xfId="7576"/>
    <cellStyle name="Normal 4 3 5 2" xfId="7577"/>
    <cellStyle name="Normal 4 3 5 2 2" xfId="13277"/>
    <cellStyle name="Normal 4 3 5 2 2 2" xfId="26907"/>
    <cellStyle name="Normal 4 3 5 2 3" xfId="31850"/>
    <cellStyle name="Normal 4 3 5 3" xfId="7578"/>
    <cellStyle name="Normal 4 3 5 3 2" xfId="15713"/>
    <cellStyle name="Normal 4 3 5 3 2 2" xfId="29199"/>
    <cellStyle name="Normal 4 3 5 3 3" xfId="31851"/>
    <cellStyle name="Normal 4 3 5 4" xfId="11586"/>
    <cellStyle name="Normal 4 3 5 4 2" xfId="25417"/>
    <cellStyle name="Normal 4 3 5 5" xfId="31849"/>
    <cellStyle name="Normal 4 3 6" xfId="7579"/>
    <cellStyle name="Normal 4 3 6 2" xfId="13274"/>
    <cellStyle name="Normal 4 3 6 2 2" xfId="26906"/>
    <cellStyle name="Normal 4 3 6 3" xfId="31852"/>
    <cellStyle name="Normal 4 3 7" xfId="7580"/>
    <cellStyle name="Normal 4 3 7 2" xfId="15712"/>
    <cellStyle name="Normal 4 3 7 2 2" xfId="29198"/>
    <cellStyle name="Normal 4 3 7 3" xfId="31853"/>
    <cellStyle name="Normal 4 3 8" xfId="7581"/>
    <cellStyle name="Normal 4 3 8 2" xfId="15820"/>
    <cellStyle name="Normal 4 3 8 2 2" xfId="29227"/>
    <cellStyle name="Normal 4 3 8 3" xfId="31854"/>
    <cellStyle name="Normal 4 3 9" xfId="8689"/>
    <cellStyle name="Normal 4 3 9 2" xfId="17314"/>
    <cellStyle name="Normal 4 3 9 2 2" xfId="30667"/>
    <cellStyle name="Normal 4 3 9 3" xfId="23219"/>
    <cellStyle name="Normal 4 4" xfId="7582"/>
    <cellStyle name="Normal 4 4 10" xfId="32935"/>
    <cellStyle name="Normal 4 4 11" xfId="32995"/>
    <cellStyle name="Normal 4 4 2" xfId="7583"/>
    <cellStyle name="Normal 4 4 2 2" xfId="7584"/>
    <cellStyle name="Normal 4 4 2 2 2" xfId="17048"/>
    <cellStyle name="Normal 4 4 2 2 2 2" xfId="30448"/>
    <cellStyle name="Normal 4 4 2 2 3" xfId="31857"/>
    <cellStyle name="Normal 4 4 2 3" xfId="10222"/>
    <cellStyle name="Normal 4 4 2 4" xfId="31856"/>
    <cellStyle name="Normal 4 4 2 5" xfId="32965"/>
    <cellStyle name="Normal 4 4 2 6" xfId="33023"/>
    <cellStyle name="Normal 4 4 3" xfId="7585"/>
    <cellStyle name="Normal 4 4 3 2" xfId="11587"/>
    <cellStyle name="Normal 4 4 3 2 2" xfId="25418"/>
    <cellStyle name="Normal 4 4 3 3" xfId="31858"/>
    <cellStyle name="Normal 4 4 4" xfId="7586"/>
    <cellStyle name="Normal 4 4 4 2" xfId="13278"/>
    <cellStyle name="Normal 4 4 4 2 2" xfId="26908"/>
    <cellStyle name="Normal 4 4 4 3" xfId="31859"/>
    <cellStyle name="Normal 4 4 5" xfId="7587"/>
    <cellStyle name="Normal 4 4 5 2" xfId="15714"/>
    <cellStyle name="Normal 4 4 5 2 2" xfId="29200"/>
    <cellStyle name="Normal 4 4 5 3" xfId="31860"/>
    <cellStyle name="Normal 4 4 6" xfId="7588"/>
    <cellStyle name="Normal 4 4 6 2" xfId="15821"/>
    <cellStyle name="Normal 4 4 6 2 2" xfId="29228"/>
    <cellStyle name="Normal 4 4 6 3" xfId="31861"/>
    <cellStyle name="Normal 4 4 7" xfId="8704"/>
    <cellStyle name="Normal 4 4 7 2" xfId="17322"/>
    <cellStyle name="Normal 4 4 7 2 2" xfId="30675"/>
    <cellStyle name="Normal 4 4 7 3" xfId="23227"/>
    <cellStyle name="Normal 4 4 8" xfId="8806"/>
    <cellStyle name="Normal 4 4 8 2" xfId="23284"/>
    <cellStyle name="Normal 4 4 9" xfId="31855"/>
    <cellStyle name="Normal 4 5" xfId="7589"/>
    <cellStyle name="Normal 4 5 10" xfId="7590"/>
    <cellStyle name="Normal 4 5 10 2" xfId="16421"/>
    <cellStyle name="Normal 4 5 10 2 2" xfId="29828"/>
    <cellStyle name="Normal 4 5 10 3" xfId="31863"/>
    <cellStyle name="Normal 4 5 11" xfId="8692"/>
    <cellStyle name="Normal 4 5 11 2" xfId="17317"/>
    <cellStyle name="Normal 4 5 11 2 2" xfId="30670"/>
    <cellStyle name="Normal 4 5 11 3" xfId="23222"/>
    <cellStyle name="Normal 4 5 12" xfId="8801"/>
    <cellStyle name="Normal 4 5 12 2" xfId="23279"/>
    <cellStyle name="Normal 4 5 13" xfId="31862"/>
    <cellStyle name="Normal 4 5 14" xfId="32930"/>
    <cellStyle name="Normal 4 5 15" xfId="32990"/>
    <cellStyle name="Normal 4 5 2" xfId="7591"/>
    <cellStyle name="Normal 4 5 2 2" xfId="7592"/>
    <cellStyle name="Normal 4 5 2 2 2" xfId="11589"/>
    <cellStyle name="Normal 4 5 2 2 2 2" xfId="25420"/>
    <cellStyle name="Normal 4 5 2 2 3" xfId="31865"/>
    <cellStyle name="Normal 4 5 2 3" xfId="7593"/>
    <cellStyle name="Normal 4 5 2 3 2" xfId="13280"/>
    <cellStyle name="Normal 4 5 2 3 2 2" xfId="26910"/>
    <cellStyle name="Normal 4 5 2 3 3" xfId="31866"/>
    <cellStyle name="Normal 4 5 2 4" xfId="7594"/>
    <cellStyle name="Normal 4 5 2 4 2" xfId="15716"/>
    <cellStyle name="Normal 4 5 2 4 2 2" xfId="29202"/>
    <cellStyle name="Normal 4 5 2 4 3" xfId="31867"/>
    <cellStyle name="Normal 4 5 2 5" xfId="7595"/>
    <cellStyle name="Normal 4 5 2 5 2" xfId="17002"/>
    <cellStyle name="Normal 4 5 2 5 2 2" xfId="30409"/>
    <cellStyle name="Normal 4 5 2 5 3" xfId="31868"/>
    <cellStyle name="Normal 4 5 2 6" xfId="10223"/>
    <cellStyle name="Normal 4 5 2 6 2" xfId="24418"/>
    <cellStyle name="Normal 4 5 2 7" xfId="31864"/>
    <cellStyle name="Normal 4 5 2 8" xfId="32966"/>
    <cellStyle name="Normal 4 5 2 9" xfId="33024"/>
    <cellStyle name="Normal 4 5 3" xfId="7596"/>
    <cellStyle name="Normal 4 5 3 2" xfId="11588"/>
    <cellStyle name="Normal 4 5 3 2 2" xfId="25419"/>
    <cellStyle name="Normal 4 5 3 3" xfId="31869"/>
    <cellStyle name="Normal 4 5 4" xfId="7597"/>
    <cellStyle name="Normal 4 5 4 2" xfId="12390"/>
    <cellStyle name="Normal 4 5 4 2 2" xfId="26102"/>
    <cellStyle name="Normal 4 5 4 3" xfId="31870"/>
    <cellStyle name="Normal 4 5 5" xfId="7598"/>
    <cellStyle name="Normal 4 5 5 2" xfId="13279"/>
    <cellStyle name="Normal 4 5 5 2 2" xfId="26909"/>
    <cellStyle name="Normal 4 5 5 3" xfId="31871"/>
    <cellStyle name="Normal 4 5 6" xfId="7599"/>
    <cellStyle name="Normal 4 5 6 2" xfId="13954"/>
    <cellStyle name="Normal 4 5 6 2 2" xfId="27503"/>
    <cellStyle name="Normal 4 5 6 3" xfId="31872"/>
    <cellStyle name="Normal 4 5 7" xfId="7600"/>
    <cellStyle name="Normal 4 5 7 2" xfId="14535"/>
    <cellStyle name="Normal 4 5 7 2 2" xfId="28084"/>
    <cellStyle name="Normal 4 5 7 3" xfId="31873"/>
    <cellStyle name="Normal 4 5 8" xfId="7601"/>
    <cellStyle name="Normal 4 5 8 2" xfId="15715"/>
    <cellStyle name="Normal 4 5 8 2 2" xfId="29201"/>
    <cellStyle name="Normal 4 5 8 3" xfId="31874"/>
    <cellStyle name="Normal 4 5 9" xfId="7602"/>
    <cellStyle name="Normal 4 5 9 2" xfId="15822"/>
    <cellStyle name="Normal 4 5 9 2 2" xfId="29229"/>
    <cellStyle name="Normal 4 5 9 3" xfId="31875"/>
    <cellStyle name="Normal 4 6" xfId="7603"/>
    <cellStyle name="Normal 4 6 2" xfId="7604"/>
    <cellStyle name="Normal 4 6 2 2" xfId="10225"/>
    <cellStyle name="Normal 4 6 2 3" xfId="32967"/>
    <cellStyle name="Normal 4 6 3" xfId="7605"/>
    <cellStyle name="Normal 4 6 3 2" xfId="11729"/>
    <cellStyle name="Normal 4 6 3 2 2" xfId="25448"/>
    <cellStyle name="Normal 4 6 3 3" xfId="31876"/>
    <cellStyle name="Normal 4 6 4" xfId="7606"/>
    <cellStyle name="Normal 4 6 4 2" xfId="17346"/>
    <cellStyle name="Normal 4 6 4 3" xfId="31877"/>
    <cellStyle name="Normal 4 6 5" xfId="8742"/>
    <cellStyle name="Normal 4 6 6" xfId="10224"/>
    <cellStyle name="Normal 4 6 7" xfId="32919"/>
    <cellStyle name="Normal 4 6 8" xfId="32979"/>
    <cellStyle name="Normal 4 7" xfId="7607"/>
    <cellStyle name="Normal 4 7 2" xfId="7608"/>
    <cellStyle name="Normal 4 7 2 2" xfId="13281"/>
    <cellStyle name="Normal 4 7 2 2 2" xfId="26911"/>
    <cellStyle name="Normal 4 7 2 3" xfId="31879"/>
    <cellStyle name="Normal 4 7 3" xfId="7609"/>
    <cellStyle name="Normal 4 7 3 2" xfId="15717"/>
    <cellStyle name="Normal 4 7 3 2 2" xfId="29203"/>
    <cellStyle name="Normal 4 7 3 3" xfId="31880"/>
    <cellStyle name="Normal 4 7 4" xfId="11584"/>
    <cellStyle name="Normal 4 7 4 2" xfId="25415"/>
    <cellStyle name="Normal 4 7 5" xfId="31878"/>
    <cellStyle name="Normal 4 7 6" xfId="32944"/>
    <cellStyle name="Normal 4 7 7" xfId="33002"/>
    <cellStyle name="Normal 4 8" xfId="7610"/>
    <cellStyle name="Normal 4 8 2" xfId="15818"/>
    <cellStyle name="Normal 4 8 2 2" xfId="29225"/>
    <cellStyle name="Normal 4 8 3" xfId="31881"/>
    <cellStyle name="Normal 4 8 4" xfId="32962"/>
    <cellStyle name="Normal 4 8 5" xfId="33020"/>
    <cellStyle name="Normal 4 9" xfId="8681"/>
    <cellStyle name="Normal 4 9 2" xfId="17306"/>
    <cellStyle name="Normal 4 9 2 2" xfId="30659"/>
    <cellStyle name="Normal 4 9 3" xfId="23211"/>
    <cellStyle name="Normal 5" xfId="7611"/>
    <cellStyle name="Normal 5 10" xfId="7612"/>
    <cellStyle name="Normal 5 10 2" xfId="15823"/>
    <cellStyle name="Normal 5 10 2 2" xfId="29230"/>
    <cellStyle name="Normal 5 10 3" xfId="31882"/>
    <cellStyle name="Normal 5 11" xfId="8682"/>
    <cellStyle name="Normal 5 11 2" xfId="17307"/>
    <cellStyle name="Normal 5 11 2 2" xfId="30660"/>
    <cellStyle name="Normal 5 11 3" xfId="23212"/>
    <cellStyle name="Normal 5 12" xfId="8791"/>
    <cellStyle name="Normal 5 12 2" xfId="23269"/>
    <cellStyle name="Normal 5 2" xfId="7613"/>
    <cellStyle name="Normal 5 2 10" xfId="32984"/>
    <cellStyle name="Normal 5 2 11" xfId="33041"/>
    <cellStyle name="Normal 5 2 2" xfId="7614"/>
    <cellStyle name="Normal 5 2 2 2" xfId="11591"/>
    <cellStyle name="Normal 5 2 2 2 2" xfId="25422"/>
    <cellStyle name="Normal 5 2 2 3" xfId="31883"/>
    <cellStyle name="Normal 5 2 2 4" xfId="32969"/>
    <cellStyle name="Normal 5 2 2 5" xfId="33026"/>
    <cellStyle name="Normal 5 2 3" xfId="7615"/>
    <cellStyle name="Normal 5 2 3 2" xfId="13283"/>
    <cellStyle name="Normal 5 2 3 2 2" xfId="26913"/>
    <cellStyle name="Normal 5 2 3 3" xfId="31884"/>
    <cellStyle name="Normal 5 2 4" xfId="7616"/>
    <cellStyle name="Normal 5 2 4 2" xfId="15719"/>
    <cellStyle name="Normal 5 2 4 2 2" xfId="29205"/>
    <cellStyle name="Normal 5 2 4 3" xfId="31885"/>
    <cellStyle name="Normal 5 2 5" xfId="7617"/>
    <cellStyle name="Normal 5 2 5 2" xfId="15824"/>
    <cellStyle name="Normal 5 2 5 2 2" xfId="29231"/>
    <cellStyle name="Normal 5 2 5 3" xfId="31886"/>
    <cellStyle name="Normal 5 2 6" xfId="7618"/>
    <cellStyle name="Normal 5 2 6 2" xfId="17049"/>
    <cellStyle name="Normal 5 2 7" xfId="8686"/>
    <cellStyle name="Normal 5 2 7 2" xfId="17311"/>
    <cellStyle name="Normal 5 2 7 2 2" xfId="30664"/>
    <cellStyle name="Normal 5 2 7 3" xfId="23216"/>
    <cellStyle name="Normal 5 2 8" xfId="8795"/>
    <cellStyle name="Normal 5 2 8 2" xfId="23273"/>
    <cellStyle name="Normal 5 2 9" xfId="32924"/>
    <cellStyle name="Normal 5 3" xfId="7619"/>
    <cellStyle name="Normal 5 3 10" xfId="32988"/>
    <cellStyle name="Normal 5 3 2" xfId="7620"/>
    <cellStyle name="Normal 5 3 2 2" xfId="11592"/>
    <cellStyle name="Normal 5 3 2 2 2" xfId="25423"/>
    <cellStyle name="Normal 5 3 2 3" xfId="31888"/>
    <cellStyle name="Normal 5 3 2 4" xfId="32970"/>
    <cellStyle name="Normal 5 3 2 5" xfId="33027"/>
    <cellStyle name="Normal 5 3 3" xfId="7621"/>
    <cellStyle name="Normal 5 3 3 2" xfId="13284"/>
    <cellStyle name="Normal 5 3 3 2 2" xfId="26914"/>
    <cellStyle name="Normal 5 3 3 3" xfId="31889"/>
    <cellStyle name="Normal 5 3 4" xfId="7622"/>
    <cellStyle name="Normal 5 3 4 2" xfId="15720"/>
    <cellStyle name="Normal 5 3 4 2 2" xfId="29206"/>
    <cellStyle name="Normal 5 3 4 3" xfId="31890"/>
    <cellStyle name="Normal 5 3 5" xfId="7623"/>
    <cellStyle name="Normal 5 3 5 2" xfId="15825"/>
    <cellStyle name="Normal 5 3 5 2 2" xfId="29232"/>
    <cellStyle name="Normal 5 3 5 3" xfId="31891"/>
    <cellStyle name="Normal 5 3 6" xfId="8690"/>
    <cellStyle name="Normal 5 3 6 2" xfId="17315"/>
    <cellStyle name="Normal 5 3 6 2 2" xfId="30668"/>
    <cellStyle name="Normal 5 3 6 3" xfId="23220"/>
    <cellStyle name="Normal 5 3 7" xfId="8799"/>
    <cellStyle name="Normal 5 3 7 2" xfId="23277"/>
    <cellStyle name="Normal 5 3 8" xfId="31887"/>
    <cellStyle name="Normal 5 3 9" xfId="32928"/>
    <cellStyle name="Normal 5 4" xfId="7624"/>
    <cellStyle name="Normal 5 4 10" xfId="32996"/>
    <cellStyle name="Normal 5 4 2" xfId="7625"/>
    <cellStyle name="Normal 5 4 2 2" xfId="11593"/>
    <cellStyle name="Normal 5 4 2 2 2" xfId="25424"/>
    <cellStyle name="Normal 5 4 2 3" xfId="31893"/>
    <cellStyle name="Normal 5 4 2 4" xfId="32971"/>
    <cellStyle name="Normal 5 4 2 5" xfId="33028"/>
    <cellStyle name="Normal 5 4 3" xfId="7626"/>
    <cellStyle name="Normal 5 4 3 2" xfId="13285"/>
    <cellStyle name="Normal 5 4 3 2 2" xfId="26915"/>
    <cellStyle name="Normal 5 4 3 3" xfId="31894"/>
    <cellStyle name="Normal 5 4 4" xfId="7627"/>
    <cellStyle name="Normal 5 4 4 2" xfId="15721"/>
    <cellStyle name="Normal 5 4 4 2 2" xfId="29207"/>
    <cellStyle name="Normal 5 4 4 3" xfId="31895"/>
    <cellStyle name="Normal 5 4 5" xfId="7628"/>
    <cellStyle name="Normal 5 4 5 2" xfId="15826"/>
    <cellStyle name="Normal 5 4 5 2 2" xfId="29233"/>
    <cellStyle name="Normal 5 4 5 3" xfId="31896"/>
    <cellStyle name="Normal 5 4 6" xfId="8705"/>
    <cellStyle name="Normal 5 4 6 2" xfId="17323"/>
    <cellStyle name="Normal 5 4 6 2 2" xfId="30676"/>
    <cellStyle name="Normal 5 4 6 3" xfId="23228"/>
    <cellStyle name="Normal 5 4 7" xfId="8807"/>
    <cellStyle name="Normal 5 4 7 2" xfId="23285"/>
    <cellStyle name="Normal 5 4 8" xfId="31892"/>
    <cellStyle name="Normal 5 4 9" xfId="32936"/>
    <cellStyle name="Normal 5 5" xfId="7629"/>
    <cellStyle name="Normal 5 5 10" xfId="32991"/>
    <cellStyle name="Normal 5 5 2" xfId="7630"/>
    <cellStyle name="Normal 5 5 2 2" xfId="11594"/>
    <cellStyle name="Normal 5 5 2 2 2" xfId="25425"/>
    <cellStyle name="Normal 5 5 2 3" xfId="31898"/>
    <cellStyle name="Normal 5 5 2 4" xfId="32972"/>
    <cellStyle name="Normal 5 5 2 5" xfId="33029"/>
    <cellStyle name="Normal 5 5 3" xfId="7631"/>
    <cellStyle name="Normal 5 5 3 2" xfId="13286"/>
    <cellStyle name="Normal 5 5 3 2 2" xfId="26916"/>
    <cellStyle name="Normal 5 5 3 3" xfId="31899"/>
    <cellStyle name="Normal 5 5 4" xfId="7632"/>
    <cellStyle name="Normal 5 5 4 2" xfId="15722"/>
    <cellStyle name="Normal 5 5 4 2 2" xfId="29208"/>
    <cellStyle name="Normal 5 5 4 3" xfId="31900"/>
    <cellStyle name="Normal 5 5 5" xfId="7633"/>
    <cellStyle name="Normal 5 5 5 2" xfId="15827"/>
    <cellStyle name="Normal 5 5 5 2 2" xfId="29234"/>
    <cellStyle name="Normal 5 5 5 3" xfId="31901"/>
    <cellStyle name="Normal 5 5 6" xfId="8695"/>
    <cellStyle name="Normal 5 5 6 2" xfId="17318"/>
    <cellStyle name="Normal 5 5 6 2 2" xfId="30671"/>
    <cellStyle name="Normal 5 5 6 3" xfId="23223"/>
    <cellStyle name="Normal 5 5 7" xfId="8802"/>
    <cellStyle name="Normal 5 5 7 2" xfId="23280"/>
    <cellStyle name="Normal 5 5 8" xfId="31897"/>
    <cellStyle name="Normal 5 5 9" xfId="32931"/>
    <cellStyle name="Normal 5 6" xfId="7634"/>
    <cellStyle name="Normal 5 6 2" xfId="7635"/>
    <cellStyle name="Normal 5 6 2 2" xfId="11691"/>
    <cellStyle name="Normal 5 6 2 2 2" xfId="25428"/>
    <cellStyle name="Normal 5 6 2 3" xfId="31903"/>
    <cellStyle name="Normal 5 6 2 4" xfId="32973"/>
    <cellStyle name="Normal 5 6 3" xfId="7636"/>
    <cellStyle name="Normal 5 6 3 2" xfId="17347"/>
    <cellStyle name="Normal 5 6 3 3" xfId="31904"/>
    <cellStyle name="Normal 5 6 4" xfId="8743"/>
    <cellStyle name="Normal 5 6 5" xfId="10226"/>
    <cellStyle name="Normal 5 6 6" xfId="31902"/>
    <cellStyle name="Normal 5 6 7" xfId="32920"/>
    <cellStyle name="Normal 5 6 8" xfId="32980"/>
    <cellStyle name="Normal 5 7" xfId="7637"/>
    <cellStyle name="Normal 5 7 2" xfId="7638"/>
    <cellStyle name="Normal 5 7 2 2" xfId="13287"/>
    <cellStyle name="Normal 5 7 2 2 2" xfId="26917"/>
    <cellStyle name="Normal 5 7 2 3" xfId="31906"/>
    <cellStyle name="Normal 5 7 3" xfId="7639"/>
    <cellStyle name="Normal 5 7 3 2" xfId="15723"/>
    <cellStyle name="Normal 5 7 3 2 2" xfId="29209"/>
    <cellStyle name="Normal 5 7 3 3" xfId="31907"/>
    <cellStyle name="Normal 5 7 4" xfId="11590"/>
    <cellStyle name="Normal 5 7 4 2" xfId="25421"/>
    <cellStyle name="Normal 5 7 5" xfId="31905"/>
    <cellStyle name="Normal 5 7 6" xfId="32968"/>
    <cellStyle name="Normal 5 7 7" xfId="33025"/>
    <cellStyle name="Normal 5 8" xfId="7640"/>
    <cellStyle name="Normal 5 8 2" xfId="13282"/>
    <cellStyle name="Normal 5 8 2 2" xfId="26912"/>
    <cellStyle name="Normal 5 8 3" xfId="31908"/>
    <cellStyle name="Normal 5 9" xfId="7641"/>
    <cellStyle name="Normal 5 9 2" xfId="15718"/>
    <cellStyle name="Normal 5 9 2 2" xfId="29204"/>
    <cellStyle name="Normal 5 9 3" xfId="31909"/>
    <cellStyle name="Normal 55" xfId="7642"/>
    <cellStyle name="Normal 55 2" xfId="7643"/>
    <cellStyle name="Normal 55 2 2" xfId="7644"/>
    <cellStyle name="Normal 55 2 2 2" xfId="17050"/>
    <cellStyle name="Normal 55 2 2 2 2" xfId="30449"/>
    <cellStyle name="Normal 55 2 2 3" xfId="31912"/>
    <cellStyle name="Normal 55 2 3" xfId="11595"/>
    <cellStyle name="Normal 55 2 3 2" xfId="25426"/>
    <cellStyle name="Normal 55 2 4" xfId="31911"/>
    <cellStyle name="Normal 55 3" xfId="7645"/>
    <cellStyle name="Normal 55 3 2" xfId="7646"/>
    <cellStyle name="Normal 55 3 2 2" xfId="17005"/>
    <cellStyle name="Normal 55 3 2 2 2" xfId="30412"/>
    <cellStyle name="Normal 55 3 2 3" xfId="31914"/>
    <cellStyle name="Normal 55 3 3" xfId="12394"/>
    <cellStyle name="Normal 55 3 3 2" xfId="26106"/>
    <cellStyle name="Normal 55 3 4" xfId="31913"/>
    <cellStyle name="Normal 55 4" xfId="7647"/>
    <cellStyle name="Normal 55 4 2" xfId="13957"/>
    <cellStyle name="Normal 55 4 2 2" xfId="27506"/>
    <cellStyle name="Normal 55 4 3" xfId="31915"/>
    <cellStyle name="Normal 55 5" xfId="7648"/>
    <cellStyle name="Normal 55 5 2" xfId="14538"/>
    <cellStyle name="Normal 55 5 2 2" xfId="28087"/>
    <cellStyle name="Normal 55 5 3" xfId="31916"/>
    <cellStyle name="Normal 55 6" xfId="7649"/>
    <cellStyle name="Normal 55 6 2" xfId="16424"/>
    <cellStyle name="Normal 55 6 2 2" xfId="29831"/>
    <cellStyle name="Normal 55 6 3" xfId="31917"/>
    <cellStyle name="Normal 55 7" xfId="10227"/>
    <cellStyle name="Normal 55 7 2" xfId="24419"/>
    <cellStyle name="Normal 55 8" xfId="31910"/>
    <cellStyle name="Normal 6" xfId="7650"/>
    <cellStyle name="Normal 6 2" xfId="7651"/>
    <cellStyle name="Normal 6 2 2" xfId="7652"/>
    <cellStyle name="Normal 6 2 2 2" xfId="10229"/>
    <cellStyle name="Normal 6 2 2 3" xfId="31918"/>
    <cellStyle name="Normal 6 2 2 4" xfId="33094"/>
    <cellStyle name="Normal 6 2 3" xfId="7653"/>
    <cellStyle name="Normal 6 2 3 2" xfId="17348"/>
    <cellStyle name="Normal 6 2 3 3" xfId="31919"/>
    <cellStyle name="Normal 6 2 4" xfId="8744"/>
    <cellStyle name="Normal 6 2 5" xfId="10228"/>
    <cellStyle name="Normal 6 2 6" xfId="33042"/>
    <cellStyle name="Normal 6 3" xfId="7654"/>
    <cellStyle name="Normal 6 3 2" xfId="7655"/>
    <cellStyle name="Normal 6 3 2 2" xfId="17371"/>
    <cellStyle name="Normal 6 3 2 3" xfId="31920"/>
    <cellStyle name="Normal 6 3 3" xfId="8745"/>
    <cellStyle name="Normal 6 3 4" xfId="11596"/>
    <cellStyle name="Normal 6 3 5" xfId="33087"/>
    <cellStyle name="Normal 6 4" xfId="8707"/>
    <cellStyle name="Normal 7" xfId="7656"/>
    <cellStyle name="Normal 7 2" xfId="7657"/>
    <cellStyle name="Normal 7 2 2" xfId="7658"/>
    <cellStyle name="Normal 7 2 2 2" xfId="11732"/>
    <cellStyle name="Normal 7 2 2 3" xfId="31923"/>
    <cellStyle name="Normal 7 2 3" xfId="7659"/>
    <cellStyle name="Normal 7 2 3 2" xfId="17349"/>
    <cellStyle name="Normal 7 2 3 3" xfId="31924"/>
    <cellStyle name="Normal 7 2 4" xfId="8746"/>
    <cellStyle name="Normal 7 2 5" xfId="10230"/>
    <cellStyle name="Normal 7 2 6" xfId="31922"/>
    <cellStyle name="Normal 7 3" xfId="7660"/>
    <cellStyle name="Normal 7 3 2" xfId="11597"/>
    <cellStyle name="Normal 7 3 3" xfId="31925"/>
    <cellStyle name="Normal 7 4" xfId="8698"/>
    <cellStyle name="Normal 7 5" xfId="31921"/>
    <cellStyle name="Normal 8" xfId="7661"/>
    <cellStyle name="Normal 8 2" xfId="7662"/>
    <cellStyle name="Normal 8 2 2" xfId="7663"/>
    <cellStyle name="Normal 8 2 2 2" xfId="17350"/>
    <cellStyle name="Normal 8 2 3" xfId="8747"/>
    <cellStyle name="Normal 8 2 4" xfId="10231"/>
    <cellStyle name="Normal 8 3" xfId="7664"/>
    <cellStyle name="Normal 8 3 2" xfId="7665"/>
    <cellStyle name="Normal 8 3 2 2" xfId="11737"/>
    <cellStyle name="Normal 8 3 2 3" xfId="31927"/>
    <cellStyle name="Normal 8 3 3" xfId="10232"/>
    <cellStyle name="Normal 8 3 4" xfId="31926"/>
    <cellStyle name="Normal 8 4" xfId="7666"/>
    <cellStyle name="Normal 8 4 2" xfId="11598"/>
    <cellStyle name="Normal 8 4 3" xfId="31928"/>
    <cellStyle name="Normal 8 5" xfId="8708"/>
    <cellStyle name="Normal 9" xfId="7667"/>
    <cellStyle name="Normal 9 2" xfId="7668"/>
    <cellStyle name="Normal 9 2 2" xfId="7669"/>
    <cellStyle name="Normal 9 2 2 2" xfId="7670"/>
    <cellStyle name="Normal 9 2 2 2 2" xfId="17051"/>
    <cellStyle name="Normal 9 2 2 2 2 2" xfId="30450"/>
    <cellStyle name="Normal 9 2 2 2 3" xfId="31931"/>
    <cellStyle name="Normal 9 2 2 3" xfId="11599"/>
    <cellStyle name="Normal 9 2 2 3 2" xfId="25427"/>
    <cellStyle name="Normal 9 2 2 4" xfId="31930"/>
    <cellStyle name="Normal 9 2 3" xfId="7671"/>
    <cellStyle name="Normal 9 2 3 2" xfId="7672"/>
    <cellStyle name="Normal 9 2 3 2 2" xfId="17003"/>
    <cellStyle name="Normal 9 2 3 2 2 2" xfId="30410"/>
    <cellStyle name="Normal 9 2 3 2 3" xfId="31933"/>
    <cellStyle name="Normal 9 2 3 3" xfId="12392"/>
    <cellStyle name="Normal 9 2 3 3 2" xfId="26104"/>
    <cellStyle name="Normal 9 2 3 4" xfId="31932"/>
    <cellStyle name="Normal 9 2 4" xfId="7673"/>
    <cellStyle name="Normal 9 2 4 2" xfId="13955"/>
    <cellStyle name="Normal 9 2 4 2 2" xfId="27504"/>
    <cellStyle name="Normal 9 2 4 3" xfId="31934"/>
    <cellStyle name="Normal 9 2 5" xfId="7674"/>
    <cellStyle name="Normal 9 2 5 2" xfId="14536"/>
    <cellStyle name="Normal 9 2 5 2 2" xfId="28085"/>
    <cellStyle name="Normal 9 2 5 3" xfId="31935"/>
    <cellStyle name="Normal 9 2 6" xfId="7675"/>
    <cellStyle name="Normal 9 2 6 2" xfId="16422"/>
    <cellStyle name="Normal 9 2 6 2 2" xfId="29829"/>
    <cellStyle name="Normal 9 2 6 3" xfId="31936"/>
    <cellStyle name="Normal 9 2 7" xfId="10234"/>
    <cellStyle name="Normal 9 2 7 2" xfId="24420"/>
    <cellStyle name="Normal 9 2 8" xfId="31929"/>
    <cellStyle name="Normal 9 3" xfId="7676"/>
    <cellStyle name="Normal 9 3 2" xfId="10233"/>
    <cellStyle name="Normal 9 3 3" xfId="31937"/>
    <cellStyle name="Normal 9 4" xfId="8666"/>
    <cellStyle name="Note" xfId="33035" builtinId="10" customBuiltin="1"/>
    <cellStyle name="Note 2" xfId="7677"/>
    <cellStyle name="Note 2 10" xfId="7678"/>
    <cellStyle name="Note 2 10 2" xfId="7679"/>
    <cellStyle name="Note 2 10 2 2" xfId="13289"/>
    <cellStyle name="Note 2 10 2 3" xfId="31940"/>
    <cellStyle name="Note 2 10 3" xfId="7680"/>
    <cellStyle name="Note 2 10 3 2" xfId="13288"/>
    <cellStyle name="Note 2 10 3 2 2" xfId="26918"/>
    <cellStyle name="Note 2 10 3 3" xfId="31941"/>
    <cellStyle name="Note 2 10 4" xfId="7681"/>
    <cellStyle name="Note 2 10 4 2" xfId="17111"/>
    <cellStyle name="Note 2 10 4 2 2" xfId="30470"/>
    <cellStyle name="Note 2 10 4 3" xfId="31942"/>
    <cellStyle name="Note 2 10 5" xfId="10236"/>
    <cellStyle name="Note 2 10 6" xfId="31939"/>
    <cellStyle name="Note 2 11" xfId="7682"/>
    <cellStyle name="Note 2 11 2" xfId="7683"/>
    <cellStyle name="Note 2 11 2 2" xfId="17200"/>
    <cellStyle name="Note 2 11 2 2 2" xfId="30559"/>
    <cellStyle name="Note 2 11 2 3" xfId="31944"/>
    <cellStyle name="Note 2 11 3" xfId="10237"/>
    <cellStyle name="Note 2 11 4" xfId="31943"/>
    <cellStyle name="Note 2 12" xfId="7684"/>
    <cellStyle name="Note 2 12 2" xfId="7685"/>
    <cellStyle name="Note 2 12 2 2" xfId="7686"/>
    <cellStyle name="Note 2 12 2 2 2" xfId="11602"/>
    <cellStyle name="Note 2 12 2 2 3" xfId="31947"/>
    <cellStyle name="Note 2 12 2 3" xfId="10239"/>
    <cellStyle name="Note 2 12 2 4" xfId="31946"/>
    <cellStyle name="Note 2 12 3" xfId="7687"/>
    <cellStyle name="Note 2 12 3 2" xfId="11601"/>
    <cellStyle name="Note 2 12 3 3" xfId="31948"/>
    <cellStyle name="Note 2 12 4" xfId="7688"/>
    <cellStyle name="Note 2 12 4 2" xfId="17289"/>
    <cellStyle name="Note 2 12 4 2 2" xfId="30648"/>
    <cellStyle name="Note 2 12 4 3" xfId="31949"/>
    <cellStyle name="Note 2 12 5" xfId="10238"/>
    <cellStyle name="Note 2 12 6" xfId="31945"/>
    <cellStyle name="Note 2 13" xfId="7689"/>
    <cellStyle name="Note 2 13 2" xfId="7690"/>
    <cellStyle name="Note 2 13 2 2" xfId="16441"/>
    <cellStyle name="Note 2 13 2 2 2" xfId="29848"/>
    <cellStyle name="Note 2 13 2 3" xfId="31951"/>
    <cellStyle name="Note 2 13 3" xfId="10240"/>
    <cellStyle name="Note 2 13 4" xfId="31950"/>
    <cellStyle name="Note 2 14" xfId="7691"/>
    <cellStyle name="Note 2 14 2" xfId="7692"/>
    <cellStyle name="Note 2 14 2 2" xfId="11603"/>
    <cellStyle name="Note 2 14 2 3" xfId="31953"/>
    <cellStyle name="Note 2 14 3" xfId="10241"/>
    <cellStyle name="Note 2 14 4" xfId="31952"/>
    <cellStyle name="Note 2 15" xfId="7693"/>
    <cellStyle name="Note 2 15 2" xfId="7694"/>
    <cellStyle name="Note 2 15 2 2" xfId="11604"/>
    <cellStyle name="Note 2 15 2 3" xfId="31955"/>
    <cellStyle name="Note 2 15 3" xfId="10242"/>
    <cellStyle name="Note 2 15 4" xfId="31954"/>
    <cellStyle name="Note 2 16" xfId="7695"/>
    <cellStyle name="Note 2 16 2" xfId="7696"/>
    <cellStyle name="Note 2 16 2 2" xfId="11605"/>
    <cellStyle name="Note 2 16 2 3" xfId="31957"/>
    <cellStyle name="Note 2 16 3" xfId="10243"/>
    <cellStyle name="Note 2 16 4" xfId="31956"/>
    <cellStyle name="Note 2 17" xfId="7697"/>
    <cellStyle name="Note 2 17 2" xfId="7698"/>
    <cellStyle name="Note 2 17 2 2" xfId="11606"/>
    <cellStyle name="Note 2 17 2 3" xfId="31959"/>
    <cellStyle name="Note 2 17 3" xfId="10244"/>
    <cellStyle name="Note 2 17 4" xfId="31958"/>
    <cellStyle name="Note 2 18" xfId="7699"/>
    <cellStyle name="Note 2 18 2" xfId="7700"/>
    <cellStyle name="Note 2 18 2 2" xfId="11607"/>
    <cellStyle name="Note 2 18 2 3" xfId="31961"/>
    <cellStyle name="Note 2 18 3" xfId="10245"/>
    <cellStyle name="Note 2 18 4" xfId="31960"/>
    <cellStyle name="Note 2 19" xfId="7701"/>
    <cellStyle name="Note 2 19 2" xfId="7702"/>
    <cellStyle name="Note 2 19 2 2" xfId="11608"/>
    <cellStyle name="Note 2 19 2 3" xfId="31963"/>
    <cellStyle name="Note 2 19 3" xfId="10246"/>
    <cellStyle name="Note 2 19 4" xfId="31962"/>
    <cellStyle name="Note 2 2" xfId="7703"/>
    <cellStyle name="Note 2 2 10" xfId="7704"/>
    <cellStyle name="Note 2 2 10 2" xfId="11609"/>
    <cellStyle name="Note 2 2 10 3" xfId="31965"/>
    <cellStyle name="Note 2 2 11" xfId="7705"/>
    <cellStyle name="Note 2 2 11 2" xfId="7706"/>
    <cellStyle name="Note 2 2 11 2 2" xfId="15724"/>
    <cellStyle name="Note 2 2 11 2 3" xfId="31967"/>
    <cellStyle name="Note 2 2 11 3" xfId="11861"/>
    <cellStyle name="Note 2 2 11 3 2" xfId="25576"/>
    <cellStyle name="Note 2 2 11 4" xfId="31966"/>
    <cellStyle name="Note 2 2 12" xfId="7707"/>
    <cellStyle name="Note 2 2 12 2" xfId="13450"/>
    <cellStyle name="Note 2 2 12 2 2" xfId="26999"/>
    <cellStyle name="Note 2 2 12 3" xfId="31968"/>
    <cellStyle name="Note 2 2 13" xfId="7708"/>
    <cellStyle name="Note 2 2 13 2" xfId="14031"/>
    <cellStyle name="Note 2 2 13 2 2" xfId="27580"/>
    <cellStyle name="Note 2 2 13 3" xfId="31969"/>
    <cellStyle name="Note 2 2 14" xfId="7709"/>
    <cellStyle name="Note 2 2 14 2" xfId="15917"/>
    <cellStyle name="Note 2 2 14 2 2" xfId="29324"/>
    <cellStyle name="Note 2 2 14 3" xfId="31970"/>
    <cellStyle name="Note 2 2 15" xfId="10247"/>
    <cellStyle name="Note 2 2 16" xfId="31964"/>
    <cellStyle name="Note 2 2 2" xfId="7710"/>
    <cellStyle name="Note 2 2 2 10" xfId="31971"/>
    <cellStyle name="Note 2 2 2 2" xfId="7711"/>
    <cellStyle name="Note 2 2 2 2 2" xfId="7712"/>
    <cellStyle name="Note 2 2 2 2 2 2" xfId="7713"/>
    <cellStyle name="Note 2 2 2 2 2 2 2" xfId="7714"/>
    <cellStyle name="Note 2 2 2 2 2 2 2 2" xfId="11610"/>
    <cellStyle name="Note 2 2 2 2 2 2 2 3" xfId="31975"/>
    <cellStyle name="Note 2 2 2 2 2 2 3" xfId="7715"/>
    <cellStyle name="Note 2 2 2 2 2 2 3 2" xfId="16976"/>
    <cellStyle name="Note 2 2 2 2 2 2 3 2 2" xfId="30383"/>
    <cellStyle name="Note 2 2 2 2 2 2 3 3" xfId="31976"/>
    <cellStyle name="Note 2 2 2 2 2 2 4" xfId="10251"/>
    <cellStyle name="Note 2 2 2 2 2 2 5" xfId="31974"/>
    <cellStyle name="Note 2 2 2 2 2 3" xfId="7716"/>
    <cellStyle name="Note 2 2 2 2 2 3 2" xfId="7717"/>
    <cellStyle name="Note 2 2 2 2 2 3 2 2" xfId="13290"/>
    <cellStyle name="Note 2 2 2 2 2 3 2 3" xfId="31978"/>
    <cellStyle name="Note 2 2 2 2 2 3 3" xfId="12364"/>
    <cellStyle name="Note 2 2 2 2 2 3 3 2" xfId="26076"/>
    <cellStyle name="Note 2 2 2 2 2 3 4" xfId="31977"/>
    <cellStyle name="Note 2 2 2 2 2 4" xfId="7718"/>
    <cellStyle name="Note 2 2 2 2 2 4 2" xfId="7719"/>
    <cellStyle name="Note 2 2 2 2 2 4 2 2" xfId="15725"/>
    <cellStyle name="Note 2 2 2 2 2 4 2 3" xfId="31980"/>
    <cellStyle name="Note 2 2 2 2 2 4 3" xfId="13928"/>
    <cellStyle name="Note 2 2 2 2 2 4 3 2" xfId="27477"/>
    <cellStyle name="Note 2 2 2 2 2 4 4" xfId="31979"/>
    <cellStyle name="Note 2 2 2 2 2 5" xfId="7720"/>
    <cellStyle name="Note 2 2 2 2 2 5 2" xfId="14509"/>
    <cellStyle name="Note 2 2 2 2 2 5 2 2" xfId="28058"/>
    <cellStyle name="Note 2 2 2 2 2 5 3" xfId="31981"/>
    <cellStyle name="Note 2 2 2 2 2 6" xfId="7721"/>
    <cellStyle name="Note 2 2 2 2 2 6 2" xfId="16395"/>
    <cellStyle name="Note 2 2 2 2 2 6 2 2" xfId="29802"/>
    <cellStyle name="Note 2 2 2 2 2 6 3" xfId="31982"/>
    <cellStyle name="Note 2 2 2 2 2 7" xfId="10250"/>
    <cellStyle name="Note 2 2 2 2 2 8" xfId="31973"/>
    <cellStyle name="Note 2 2 2 2 3" xfId="7722"/>
    <cellStyle name="Note 2 2 2 2 3 2" xfId="7723"/>
    <cellStyle name="Note 2 2 2 2 3 2 2" xfId="11611"/>
    <cellStyle name="Note 2 2 2 2 3 2 3" xfId="31984"/>
    <cellStyle name="Note 2 2 2 2 3 3" xfId="7724"/>
    <cellStyle name="Note 2 2 2 2 3 3 2" xfId="16687"/>
    <cellStyle name="Note 2 2 2 2 3 3 2 2" xfId="30094"/>
    <cellStyle name="Note 2 2 2 2 3 3 3" xfId="31985"/>
    <cellStyle name="Note 2 2 2 2 3 4" xfId="10252"/>
    <cellStyle name="Note 2 2 2 2 3 5" xfId="31983"/>
    <cellStyle name="Note 2 2 2 2 4" xfId="7725"/>
    <cellStyle name="Note 2 2 2 2 4 2" xfId="7726"/>
    <cellStyle name="Note 2 2 2 2 4 2 2" xfId="13291"/>
    <cellStyle name="Note 2 2 2 2 4 2 3" xfId="31987"/>
    <cellStyle name="Note 2 2 2 2 4 3" xfId="12064"/>
    <cellStyle name="Note 2 2 2 2 4 3 2" xfId="25779"/>
    <cellStyle name="Note 2 2 2 2 4 4" xfId="31986"/>
    <cellStyle name="Note 2 2 2 2 5" xfId="7727"/>
    <cellStyle name="Note 2 2 2 2 5 2" xfId="7728"/>
    <cellStyle name="Note 2 2 2 2 5 2 2" xfId="15726"/>
    <cellStyle name="Note 2 2 2 2 5 2 3" xfId="31989"/>
    <cellStyle name="Note 2 2 2 2 5 3" xfId="13639"/>
    <cellStyle name="Note 2 2 2 2 5 3 2" xfId="27188"/>
    <cellStyle name="Note 2 2 2 2 5 4" xfId="31988"/>
    <cellStyle name="Note 2 2 2 2 6" xfId="7729"/>
    <cellStyle name="Note 2 2 2 2 6 2" xfId="14220"/>
    <cellStyle name="Note 2 2 2 2 6 2 2" xfId="27769"/>
    <cellStyle name="Note 2 2 2 2 6 3" xfId="31990"/>
    <cellStyle name="Note 2 2 2 2 7" xfId="7730"/>
    <cellStyle name="Note 2 2 2 2 7 2" xfId="16106"/>
    <cellStyle name="Note 2 2 2 2 7 2 2" xfId="29513"/>
    <cellStyle name="Note 2 2 2 2 7 3" xfId="31991"/>
    <cellStyle name="Note 2 2 2 2 8" xfId="10249"/>
    <cellStyle name="Note 2 2 2 2 9" xfId="31972"/>
    <cellStyle name="Note 2 2 2 3" xfId="7731"/>
    <cellStyle name="Note 2 2 2 3 2" xfId="7732"/>
    <cellStyle name="Note 2 2 2 3 2 2" xfId="7733"/>
    <cellStyle name="Note 2 2 2 3 2 2 2" xfId="11612"/>
    <cellStyle name="Note 2 2 2 3 2 2 3" xfId="31994"/>
    <cellStyle name="Note 2 2 2 3 2 3" xfId="7734"/>
    <cellStyle name="Note 2 2 2 3 2 3 2" xfId="16833"/>
    <cellStyle name="Note 2 2 2 3 2 3 2 2" xfId="30240"/>
    <cellStyle name="Note 2 2 2 3 2 3 3" xfId="31995"/>
    <cellStyle name="Note 2 2 2 3 2 4" xfId="10254"/>
    <cellStyle name="Note 2 2 2 3 2 5" xfId="31993"/>
    <cellStyle name="Note 2 2 2 3 3" xfId="7735"/>
    <cellStyle name="Note 2 2 2 3 3 2" xfId="7736"/>
    <cellStyle name="Note 2 2 2 3 3 2 2" xfId="13292"/>
    <cellStyle name="Note 2 2 2 3 3 2 3" xfId="31997"/>
    <cellStyle name="Note 2 2 2 3 3 3" xfId="12221"/>
    <cellStyle name="Note 2 2 2 3 3 3 2" xfId="25933"/>
    <cellStyle name="Note 2 2 2 3 3 4" xfId="31996"/>
    <cellStyle name="Note 2 2 2 3 4" xfId="7737"/>
    <cellStyle name="Note 2 2 2 3 4 2" xfId="7738"/>
    <cellStyle name="Note 2 2 2 3 4 2 2" xfId="15727"/>
    <cellStyle name="Note 2 2 2 3 4 2 3" xfId="31999"/>
    <cellStyle name="Note 2 2 2 3 4 3" xfId="13785"/>
    <cellStyle name="Note 2 2 2 3 4 3 2" xfId="27334"/>
    <cellStyle name="Note 2 2 2 3 4 4" xfId="31998"/>
    <cellStyle name="Note 2 2 2 3 5" xfId="7739"/>
    <cellStyle name="Note 2 2 2 3 5 2" xfId="14366"/>
    <cellStyle name="Note 2 2 2 3 5 2 2" xfId="27915"/>
    <cellStyle name="Note 2 2 2 3 5 3" xfId="32000"/>
    <cellStyle name="Note 2 2 2 3 6" xfId="7740"/>
    <cellStyle name="Note 2 2 2 3 6 2" xfId="16252"/>
    <cellStyle name="Note 2 2 2 3 6 2 2" xfId="29659"/>
    <cellStyle name="Note 2 2 2 3 6 3" xfId="32001"/>
    <cellStyle name="Note 2 2 2 3 7" xfId="10253"/>
    <cellStyle name="Note 2 2 2 3 8" xfId="31992"/>
    <cellStyle name="Note 2 2 2 4" xfId="7741"/>
    <cellStyle name="Note 2 2 2 4 2" xfId="7742"/>
    <cellStyle name="Note 2 2 2 4 2 2" xfId="11613"/>
    <cellStyle name="Note 2 2 2 4 2 3" xfId="32003"/>
    <cellStyle name="Note 2 2 2 4 3" xfId="7743"/>
    <cellStyle name="Note 2 2 2 4 3 2" xfId="17180"/>
    <cellStyle name="Note 2 2 2 4 3 2 2" xfId="30539"/>
    <cellStyle name="Note 2 2 2 4 3 3" xfId="32004"/>
    <cellStyle name="Note 2 2 2 4 4" xfId="10255"/>
    <cellStyle name="Note 2 2 2 4 5" xfId="32002"/>
    <cellStyle name="Note 2 2 2 5" xfId="7744"/>
    <cellStyle name="Note 2 2 2 5 2" xfId="7745"/>
    <cellStyle name="Note 2 2 2 5 2 2" xfId="13293"/>
    <cellStyle name="Note 2 2 2 5 2 3" xfId="32006"/>
    <cellStyle name="Note 2 2 2 5 3" xfId="7746"/>
    <cellStyle name="Note 2 2 2 5 3 2" xfId="17269"/>
    <cellStyle name="Note 2 2 2 5 3 2 2" xfId="30628"/>
    <cellStyle name="Note 2 2 2 5 3 3" xfId="32007"/>
    <cellStyle name="Note 2 2 2 5 4" xfId="11919"/>
    <cellStyle name="Note 2 2 2 5 4 2" xfId="25634"/>
    <cellStyle name="Note 2 2 2 5 5" xfId="32005"/>
    <cellStyle name="Note 2 2 2 6" xfId="7747"/>
    <cellStyle name="Note 2 2 2 6 2" xfId="7748"/>
    <cellStyle name="Note 2 2 2 6 2 2" xfId="15728"/>
    <cellStyle name="Note 2 2 2 6 2 3" xfId="32009"/>
    <cellStyle name="Note 2 2 2 6 3" xfId="7749"/>
    <cellStyle name="Note 2 2 2 6 3 2" xfId="16544"/>
    <cellStyle name="Note 2 2 2 6 3 2 2" xfId="29951"/>
    <cellStyle name="Note 2 2 2 6 3 3" xfId="32010"/>
    <cellStyle name="Note 2 2 2 6 4" xfId="13496"/>
    <cellStyle name="Note 2 2 2 6 4 2" xfId="27045"/>
    <cellStyle name="Note 2 2 2 6 5" xfId="32008"/>
    <cellStyle name="Note 2 2 2 7" xfId="7750"/>
    <cellStyle name="Note 2 2 2 7 2" xfId="14077"/>
    <cellStyle name="Note 2 2 2 7 2 2" xfId="27626"/>
    <cellStyle name="Note 2 2 2 7 3" xfId="32011"/>
    <cellStyle name="Note 2 2 2 8" xfId="7751"/>
    <cellStyle name="Note 2 2 2 8 2" xfId="15963"/>
    <cellStyle name="Note 2 2 2 8 2 2" xfId="29370"/>
    <cellStyle name="Note 2 2 2 8 3" xfId="32012"/>
    <cellStyle name="Note 2 2 2 9" xfId="10248"/>
    <cellStyle name="Note 2 2 3" xfId="7752"/>
    <cellStyle name="Note 2 2 3 2" xfId="7753"/>
    <cellStyle name="Note 2 2 3 2 2" xfId="7754"/>
    <cellStyle name="Note 2 2 3 2 2 2" xfId="7755"/>
    <cellStyle name="Note 2 2 3 2 2 2 2" xfId="11614"/>
    <cellStyle name="Note 2 2 3 2 2 2 3" xfId="32016"/>
    <cellStyle name="Note 2 2 3 2 2 3" xfId="7756"/>
    <cellStyle name="Note 2 2 3 2 2 3 2" xfId="16930"/>
    <cellStyle name="Note 2 2 3 2 2 3 2 2" xfId="30337"/>
    <cellStyle name="Note 2 2 3 2 2 3 3" xfId="32017"/>
    <cellStyle name="Note 2 2 3 2 2 4" xfId="10258"/>
    <cellStyle name="Note 2 2 3 2 2 5" xfId="32015"/>
    <cellStyle name="Note 2 2 3 2 3" xfId="7757"/>
    <cellStyle name="Note 2 2 3 2 3 2" xfId="7758"/>
    <cellStyle name="Note 2 2 3 2 3 2 2" xfId="13294"/>
    <cellStyle name="Note 2 2 3 2 3 2 3" xfId="32019"/>
    <cellStyle name="Note 2 2 3 2 3 3" xfId="12318"/>
    <cellStyle name="Note 2 2 3 2 3 3 2" xfId="26030"/>
    <cellStyle name="Note 2 2 3 2 3 4" xfId="32018"/>
    <cellStyle name="Note 2 2 3 2 4" xfId="7759"/>
    <cellStyle name="Note 2 2 3 2 4 2" xfId="7760"/>
    <cellStyle name="Note 2 2 3 2 4 2 2" xfId="15729"/>
    <cellStyle name="Note 2 2 3 2 4 2 3" xfId="32021"/>
    <cellStyle name="Note 2 2 3 2 4 3" xfId="13882"/>
    <cellStyle name="Note 2 2 3 2 4 3 2" xfId="27431"/>
    <cellStyle name="Note 2 2 3 2 4 4" xfId="32020"/>
    <cellStyle name="Note 2 2 3 2 5" xfId="7761"/>
    <cellStyle name="Note 2 2 3 2 5 2" xfId="14463"/>
    <cellStyle name="Note 2 2 3 2 5 2 2" xfId="28012"/>
    <cellStyle name="Note 2 2 3 2 5 3" xfId="32022"/>
    <cellStyle name="Note 2 2 3 2 6" xfId="7762"/>
    <cellStyle name="Note 2 2 3 2 6 2" xfId="16349"/>
    <cellStyle name="Note 2 2 3 2 6 2 2" xfId="29756"/>
    <cellStyle name="Note 2 2 3 2 6 3" xfId="32023"/>
    <cellStyle name="Note 2 2 3 2 7" xfId="10257"/>
    <cellStyle name="Note 2 2 3 2 8" xfId="32014"/>
    <cellStyle name="Note 2 2 3 3" xfId="7763"/>
    <cellStyle name="Note 2 2 3 3 2" xfId="7764"/>
    <cellStyle name="Note 2 2 3 3 2 2" xfId="11615"/>
    <cellStyle name="Note 2 2 3 3 2 3" xfId="32025"/>
    <cellStyle name="Note 2 2 3 3 3" xfId="7765"/>
    <cellStyle name="Note 2 2 3 3 3 2" xfId="16641"/>
    <cellStyle name="Note 2 2 3 3 3 2 2" xfId="30048"/>
    <cellStyle name="Note 2 2 3 3 3 3" xfId="32026"/>
    <cellStyle name="Note 2 2 3 3 4" xfId="10259"/>
    <cellStyle name="Note 2 2 3 3 5" xfId="32024"/>
    <cellStyle name="Note 2 2 3 4" xfId="7766"/>
    <cellStyle name="Note 2 2 3 4 2" xfId="7767"/>
    <cellStyle name="Note 2 2 3 4 2 2" xfId="13295"/>
    <cellStyle name="Note 2 2 3 4 2 3" xfId="32028"/>
    <cellStyle name="Note 2 2 3 4 3" xfId="12018"/>
    <cellStyle name="Note 2 2 3 4 3 2" xfId="25733"/>
    <cellStyle name="Note 2 2 3 4 4" xfId="32027"/>
    <cellStyle name="Note 2 2 3 5" xfId="7768"/>
    <cellStyle name="Note 2 2 3 5 2" xfId="7769"/>
    <cellStyle name="Note 2 2 3 5 2 2" xfId="15730"/>
    <cellStyle name="Note 2 2 3 5 2 3" xfId="32030"/>
    <cellStyle name="Note 2 2 3 5 3" xfId="13593"/>
    <cellStyle name="Note 2 2 3 5 3 2" xfId="27142"/>
    <cellStyle name="Note 2 2 3 5 4" xfId="32029"/>
    <cellStyle name="Note 2 2 3 6" xfId="7770"/>
    <cellStyle name="Note 2 2 3 6 2" xfId="14174"/>
    <cellStyle name="Note 2 2 3 6 2 2" xfId="27723"/>
    <cellStyle name="Note 2 2 3 6 3" xfId="32031"/>
    <cellStyle name="Note 2 2 3 7" xfId="7771"/>
    <cellStyle name="Note 2 2 3 7 2" xfId="16060"/>
    <cellStyle name="Note 2 2 3 7 2 2" xfId="29467"/>
    <cellStyle name="Note 2 2 3 7 3" xfId="32032"/>
    <cellStyle name="Note 2 2 3 8" xfId="10256"/>
    <cellStyle name="Note 2 2 3 9" xfId="32013"/>
    <cellStyle name="Note 2 2 4" xfId="7772"/>
    <cellStyle name="Note 2 2 4 2" xfId="7773"/>
    <cellStyle name="Note 2 2 4 2 2" xfId="7774"/>
    <cellStyle name="Note 2 2 4 2 2 2" xfId="11616"/>
    <cellStyle name="Note 2 2 4 2 2 3" xfId="32035"/>
    <cellStyle name="Note 2 2 4 2 3" xfId="7775"/>
    <cellStyle name="Note 2 2 4 2 3 2" xfId="16787"/>
    <cellStyle name="Note 2 2 4 2 3 2 2" xfId="30194"/>
    <cellStyle name="Note 2 2 4 2 3 3" xfId="32036"/>
    <cellStyle name="Note 2 2 4 2 4" xfId="10261"/>
    <cellStyle name="Note 2 2 4 2 5" xfId="32034"/>
    <cellStyle name="Note 2 2 4 3" xfId="7776"/>
    <cellStyle name="Note 2 2 4 3 2" xfId="7777"/>
    <cellStyle name="Note 2 2 4 3 2 2" xfId="13296"/>
    <cellStyle name="Note 2 2 4 3 2 3" xfId="32038"/>
    <cellStyle name="Note 2 2 4 3 3" xfId="12175"/>
    <cellStyle name="Note 2 2 4 3 3 2" xfId="25887"/>
    <cellStyle name="Note 2 2 4 3 4" xfId="32037"/>
    <cellStyle name="Note 2 2 4 4" xfId="7778"/>
    <cellStyle name="Note 2 2 4 4 2" xfId="7779"/>
    <cellStyle name="Note 2 2 4 4 2 2" xfId="15731"/>
    <cellStyle name="Note 2 2 4 4 2 3" xfId="32040"/>
    <cellStyle name="Note 2 2 4 4 3" xfId="13739"/>
    <cellStyle name="Note 2 2 4 4 3 2" xfId="27288"/>
    <cellStyle name="Note 2 2 4 4 4" xfId="32039"/>
    <cellStyle name="Note 2 2 4 5" xfId="7780"/>
    <cellStyle name="Note 2 2 4 5 2" xfId="14320"/>
    <cellStyle name="Note 2 2 4 5 2 2" xfId="27869"/>
    <cellStyle name="Note 2 2 4 5 3" xfId="32041"/>
    <cellStyle name="Note 2 2 4 6" xfId="7781"/>
    <cellStyle name="Note 2 2 4 6 2" xfId="16206"/>
    <cellStyle name="Note 2 2 4 6 2 2" xfId="29613"/>
    <cellStyle name="Note 2 2 4 6 3" xfId="32042"/>
    <cellStyle name="Note 2 2 4 7" xfId="10260"/>
    <cellStyle name="Note 2 2 4 8" xfId="32033"/>
    <cellStyle name="Note 2 2 5" xfId="7782"/>
    <cellStyle name="Note 2 2 5 2" xfId="7783"/>
    <cellStyle name="Note 2 2 5 2 2" xfId="7784"/>
    <cellStyle name="Note 2 2 5 2 2 2" xfId="11618"/>
    <cellStyle name="Note 2 2 5 2 2 3" xfId="32045"/>
    <cellStyle name="Note 2 2 5 2 3" xfId="10263"/>
    <cellStyle name="Note 2 2 5 2 4" xfId="32044"/>
    <cellStyle name="Note 2 2 5 3" xfId="7785"/>
    <cellStyle name="Note 2 2 5 3 2" xfId="11617"/>
    <cellStyle name="Note 2 2 5 3 3" xfId="32046"/>
    <cellStyle name="Note 2 2 5 4" xfId="7786"/>
    <cellStyle name="Note 2 2 5 4 2" xfId="17053"/>
    <cellStyle name="Note 2 2 5 4 2 2" xfId="30452"/>
    <cellStyle name="Note 2 2 5 4 3" xfId="32047"/>
    <cellStyle name="Note 2 2 5 5" xfId="10262"/>
    <cellStyle name="Note 2 2 5 6" xfId="32043"/>
    <cellStyle name="Note 2 2 6" xfId="7787"/>
    <cellStyle name="Note 2 2 6 2" xfId="7788"/>
    <cellStyle name="Note 2 2 6 2 2" xfId="17134"/>
    <cellStyle name="Note 2 2 6 2 2 2" xfId="30493"/>
    <cellStyle name="Note 2 2 6 2 3" xfId="32049"/>
    <cellStyle name="Note 2 2 6 3" xfId="10264"/>
    <cellStyle name="Note 2 2 6 4" xfId="32048"/>
    <cellStyle name="Note 2 2 7" xfId="7789"/>
    <cellStyle name="Note 2 2 7 2" xfId="7790"/>
    <cellStyle name="Note 2 2 7 2 2" xfId="11619"/>
    <cellStyle name="Note 2 2 7 2 3" xfId="32051"/>
    <cellStyle name="Note 2 2 7 3" xfId="7791"/>
    <cellStyle name="Note 2 2 7 3 2" xfId="17223"/>
    <cellStyle name="Note 2 2 7 3 2 2" xfId="30582"/>
    <cellStyle name="Note 2 2 7 3 3" xfId="32052"/>
    <cellStyle name="Note 2 2 7 4" xfId="10265"/>
    <cellStyle name="Note 2 2 7 5" xfId="32050"/>
    <cellStyle name="Note 2 2 8" xfId="7792"/>
    <cellStyle name="Note 2 2 8 2" xfId="7793"/>
    <cellStyle name="Note 2 2 8 2 2" xfId="11620"/>
    <cellStyle name="Note 2 2 8 2 3" xfId="32054"/>
    <cellStyle name="Note 2 2 8 3" xfId="7794"/>
    <cellStyle name="Note 2 2 8 3 2" xfId="16498"/>
    <cellStyle name="Note 2 2 8 3 2 2" xfId="29905"/>
    <cellStyle name="Note 2 2 8 3 3" xfId="32055"/>
    <cellStyle name="Note 2 2 8 4" xfId="10266"/>
    <cellStyle name="Note 2 2 8 5" xfId="32053"/>
    <cellStyle name="Note 2 2 9" xfId="7795"/>
    <cellStyle name="Note 2 2 9 2" xfId="7796"/>
    <cellStyle name="Note 2 2 9 2 2" xfId="13297"/>
    <cellStyle name="Note 2 2 9 2 2 2" xfId="26919"/>
    <cellStyle name="Note 2 2 9 2 3" xfId="32057"/>
    <cellStyle name="Note 2 2 9 3" xfId="7797"/>
    <cellStyle name="Note 2 2 9 3 2" xfId="15732"/>
    <cellStyle name="Note 2 2 9 3 3" xfId="32058"/>
    <cellStyle name="Note 2 2 9 4" xfId="10543"/>
    <cellStyle name="Note 2 2 9 4 2" xfId="24485"/>
    <cellStyle name="Note 2 2 9 5" xfId="32056"/>
    <cellStyle name="Note 2 20" xfId="7798"/>
    <cellStyle name="Note 2 20 2" xfId="7799"/>
    <cellStyle name="Note 2 20 2 2" xfId="11725"/>
    <cellStyle name="Note 2 20 2 2 2" xfId="25445"/>
    <cellStyle name="Note 2 20 2 3" xfId="32060"/>
    <cellStyle name="Note 2 20 3" xfId="7800"/>
    <cellStyle name="Note 2 20 3 2" xfId="13298"/>
    <cellStyle name="Note 2 20 3 2 2" xfId="26920"/>
    <cellStyle name="Note 2 20 3 3" xfId="32061"/>
    <cellStyle name="Note 2 20 4" xfId="7801"/>
    <cellStyle name="Note 2 20 4 2" xfId="15733"/>
    <cellStyle name="Note 2 20 4 3" xfId="32062"/>
    <cellStyle name="Note 2 20 5" xfId="10498"/>
    <cellStyle name="Note 2 20 5 2" xfId="24449"/>
    <cellStyle name="Note 2 20 6" xfId="32059"/>
    <cellStyle name="Note 2 21" xfId="7802"/>
    <cellStyle name="Note 2 21 2" xfId="7803"/>
    <cellStyle name="Note 2 21 2 2" xfId="13299"/>
    <cellStyle name="Note 2 21 2 2 2" xfId="26921"/>
    <cellStyle name="Note 2 21 2 3" xfId="32064"/>
    <cellStyle name="Note 2 21 3" xfId="7804"/>
    <cellStyle name="Note 2 21 3 2" xfId="15734"/>
    <cellStyle name="Note 2 21 3 3" xfId="32065"/>
    <cellStyle name="Note 2 21 4" xfId="10526"/>
    <cellStyle name="Note 2 21 4 2" xfId="24468"/>
    <cellStyle name="Note 2 21 5" xfId="32063"/>
    <cellStyle name="Note 2 22" xfId="7805"/>
    <cellStyle name="Note 2 22 2" xfId="11600"/>
    <cellStyle name="Note 2 22 3" xfId="32066"/>
    <cellStyle name="Note 2 23" xfId="7806"/>
    <cellStyle name="Note 2 23 2" xfId="11789"/>
    <cellStyle name="Note 2 23 2 2" xfId="25504"/>
    <cellStyle name="Note 2 23 3" xfId="32067"/>
    <cellStyle name="Note 2 24" xfId="7807"/>
    <cellStyle name="Note 2 24 2" xfId="13393"/>
    <cellStyle name="Note 2 24 2 2" xfId="26942"/>
    <cellStyle name="Note 2 24 3" xfId="32068"/>
    <cellStyle name="Note 2 25" xfId="7808"/>
    <cellStyle name="Note 2 25 2" xfId="13974"/>
    <cellStyle name="Note 2 25 2 2" xfId="27523"/>
    <cellStyle name="Note 2 25 3" xfId="32069"/>
    <cellStyle name="Note 2 26" xfId="7809"/>
    <cellStyle name="Note 2 26 2" xfId="15843"/>
    <cellStyle name="Note 2 26 2 2" xfId="29250"/>
    <cellStyle name="Note 2 26 3" xfId="32070"/>
    <cellStyle name="Note 2 27" xfId="7810"/>
    <cellStyle name="Note 2 27 2" xfId="15860"/>
    <cellStyle name="Note 2 27 2 2" xfId="29267"/>
    <cellStyle name="Note 2 27 3" xfId="32071"/>
    <cellStyle name="Note 2 28" xfId="10235"/>
    <cellStyle name="Note 2 29" xfId="31938"/>
    <cellStyle name="Note 2 3" xfId="7811"/>
    <cellStyle name="Note 2 3 10" xfId="10267"/>
    <cellStyle name="Note 2 3 11" xfId="32072"/>
    <cellStyle name="Note 2 3 2" xfId="7812"/>
    <cellStyle name="Note 2 3 2 2" xfId="7813"/>
    <cellStyle name="Note 2 3 2 2 2" xfId="7814"/>
    <cellStyle name="Note 2 3 2 2 2 2" xfId="7815"/>
    <cellStyle name="Note 2 3 2 2 2 2 2" xfId="11621"/>
    <cellStyle name="Note 2 3 2 2 2 2 3" xfId="32076"/>
    <cellStyle name="Note 2 3 2 2 2 3" xfId="7816"/>
    <cellStyle name="Note 2 3 2 2 2 3 2" xfId="16953"/>
    <cellStyle name="Note 2 3 2 2 2 3 2 2" xfId="30360"/>
    <cellStyle name="Note 2 3 2 2 2 3 3" xfId="32077"/>
    <cellStyle name="Note 2 3 2 2 2 4" xfId="10270"/>
    <cellStyle name="Note 2 3 2 2 2 5" xfId="32075"/>
    <cellStyle name="Note 2 3 2 2 3" xfId="7817"/>
    <cellStyle name="Note 2 3 2 2 3 2" xfId="7818"/>
    <cellStyle name="Note 2 3 2 2 3 2 2" xfId="13300"/>
    <cellStyle name="Note 2 3 2 2 3 2 3" xfId="32079"/>
    <cellStyle name="Note 2 3 2 2 3 3" xfId="12341"/>
    <cellStyle name="Note 2 3 2 2 3 3 2" xfId="26053"/>
    <cellStyle name="Note 2 3 2 2 3 4" xfId="32078"/>
    <cellStyle name="Note 2 3 2 2 4" xfId="7819"/>
    <cellStyle name="Note 2 3 2 2 4 2" xfId="7820"/>
    <cellStyle name="Note 2 3 2 2 4 2 2" xfId="15735"/>
    <cellStyle name="Note 2 3 2 2 4 2 3" xfId="32081"/>
    <cellStyle name="Note 2 3 2 2 4 3" xfId="13905"/>
    <cellStyle name="Note 2 3 2 2 4 3 2" xfId="27454"/>
    <cellStyle name="Note 2 3 2 2 4 4" xfId="32080"/>
    <cellStyle name="Note 2 3 2 2 5" xfId="7821"/>
    <cellStyle name="Note 2 3 2 2 5 2" xfId="14486"/>
    <cellStyle name="Note 2 3 2 2 5 2 2" xfId="28035"/>
    <cellStyle name="Note 2 3 2 2 5 3" xfId="32082"/>
    <cellStyle name="Note 2 3 2 2 6" xfId="7822"/>
    <cellStyle name="Note 2 3 2 2 6 2" xfId="16372"/>
    <cellStyle name="Note 2 3 2 2 6 2 2" xfId="29779"/>
    <cellStyle name="Note 2 3 2 2 6 3" xfId="32083"/>
    <cellStyle name="Note 2 3 2 2 7" xfId="10269"/>
    <cellStyle name="Note 2 3 2 2 8" xfId="32074"/>
    <cellStyle name="Note 2 3 2 3" xfId="7823"/>
    <cellStyle name="Note 2 3 2 3 2" xfId="7824"/>
    <cellStyle name="Note 2 3 2 3 2 2" xfId="11622"/>
    <cellStyle name="Note 2 3 2 3 2 3" xfId="32085"/>
    <cellStyle name="Note 2 3 2 3 3" xfId="7825"/>
    <cellStyle name="Note 2 3 2 3 3 2" xfId="16664"/>
    <cellStyle name="Note 2 3 2 3 3 2 2" xfId="30071"/>
    <cellStyle name="Note 2 3 2 3 3 3" xfId="32086"/>
    <cellStyle name="Note 2 3 2 3 4" xfId="10271"/>
    <cellStyle name="Note 2 3 2 3 5" xfId="32084"/>
    <cellStyle name="Note 2 3 2 4" xfId="7826"/>
    <cellStyle name="Note 2 3 2 4 2" xfId="7827"/>
    <cellStyle name="Note 2 3 2 4 2 2" xfId="13301"/>
    <cellStyle name="Note 2 3 2 4 2 3" xfId="32088"/>
    <cellStyle name="Note 2 3 2 4 3" xfId="12041"/>
    <cellStyle name="Note 2 3 2 4 3 2" xfId="25756"/>
    <cellStyle name="Note 2 3 2 4 4" xfId="32087"/>
    <cellStyle name="Note 2 3 2 5" xfId="7828"/>
    <cellStyle name="Note 2 3 2 5 2" xfId="7829"/>
    <cellStyle name="Note 2 3 2 5 2 2" xfId="15736"/>
    <cellStyle name="Note 2 3 2 5 2 3" xfId="32090"/>
    <cellStyle name="Note 2 3 2 5 3" xfId="13616"/>
    <cellStyle name="Note 2 3 2 5 3 2" xfId="27165"/>
    <cellStyle name="Note 2 3 2 5 4" xfId="32089"/>
    <cellStyle name="Note 2 3 2 6" xfId="7830"/>
    <cellStyle name="Note 2 3 2 6 2" xfId="14197"/>
    <cellStyle name="Note 2 3 2 6 2 2" xfId="27746"/>
    <cellStyle name="Note 2 3 2 6 3" xfId="32091"/>
    <cellStyle name="Note 2 3 2 7" xfId="7831"/>
    <cellStyle name="Note 2 3 2 7 2" xfId="16083"/>
    <cellStyle name="Note 2 3 2 7 2 2" xfId="29490"/>
    <cellStyle name="Note 2 3 2 7 3" xfId="32092"/>
    <cellStyle name="Note 2 3 2 8" xfId="10268"/>
    <cellStyle name="Note 2 3 2 9" xfId="32073"/>
    <cellStyle name="Note 2 3 3" xfId="7832"/>
    <cellStyle name="Note 2 3 3 2" xfId="7833"/>
    <cellStyle name="Note 2 3 3 2 2" xfId="7834"/>
    <cellStyle name="Note 2 3 3 2 2 2" xfId="11623"/>
    <cellStyle name="Note 2 3 3 2 2 3" xfId="32095"/>
    <cellStyle name="Note 2 3 3 2 3" xfId="7835"/>
    <cellStyle name="Note 2 3 3 2 3 2" xfId="16810"/>
    <cellStyle name="Note 2 3 3 2 3 2 2" xfId="30217"/>
    <cellStyle name="Note 2 3 3 2 3 3" xfId="32096"/>
    <cellStyle name="Note 2 3 3 2 4" xfId="10273"/>
    <cellStyle name="Note 2 3 3 2 5" xfId="32094"/>
    <cellStyle name="Note 2 3 3 3" xfId="7836"/>
    <cellStyle name="Note 2 3 3 3 2" xfId="7837"/>
    <cellStyle name="Note 2 3 3 3 2 2" xfId="13302"/>
    <cellStyle name="Note 2 3 3 3 2 3" xfId="32098"/>
    <cellStyle name="Note 2 3 3 3 3" xfId="12198"/>
    <cellStyle name="Note 2 3 3 3 3 2" xfId="25910"/>
    <cellStyle name="Note 2 3 3 3 4" xfId="32097"/>
    <cellStyle name="Note 2 3 3 4" xfId="7838"/>
    <cellStyle name="Note 2 3 3 4 2" xfId="7839"/>
    <cellStyle name="Note 2 3 3 4 2 2" xfId="15737"/>
    <cellStyle name="Note 2 3 3 4 2 3" xfId="32100"/>
    <cellStyle name="Note 2 3 3 4 3" xfId="13762"/>
    <cellStyle name="Note 2 3 3 4 3 2" xfId="27311"/>
    <cellStyle name="Note 2 3 3 4 4" xfId="32099"/>
    <cellStyle name="Note 2 3 3 5" xfId="7840"/>
    <cellStyle name="Note 2 3 3 5 2" xfId="14343"/>
    <cellStyle name="Note 2 3 3 5 2 2" xfId="27892"/>
    <cellStyle name="Note 2 3 3 5 3" xfId="32101"/>
    <cellStyle name="Note 2 3 3 6" xfId="7841"/>
    <cellStyle name="Note 2 3 3 6 2" xfId="16229"/>
    <cellStyle name="Note 2 3 3 6 2 2" xfId="29636"/>
    <cellStyle name="Note 2 3 3 6 3" xfId="32102"/>
    <cellStyle name="Note 2 3 3 7" xfId="10272"/>
    <cellStyle name="Note 2 3 3 8" xfId="32093"/>
    <cellStyle name="Note 2 3 4" xfId="7842"/>
    <cellStyle name="Note 2 3 4 2" xfId="7843"/>
    <cellStyle name="Note 2 3 4 2 2" xfId="17157"/>
    <cellStyle name="Note 2 3 4 2 2 2" xfId="30516"/>
    <cellStyle name="Note 2 3 4 2 3" xfId="32104"/>
    <cellStyle name="Note 2 3 4 3" xfId="10274"/>
    <cellStyle name="Note 2 3 4 4" xfId="32103"/>
    <cellStyle name="Note 2 3 5" xfId="7844"/>
    <cellStyle name="Note 2 3 5 2" xfId="7845"/>
    <cellStyle name="Note 2 3 5 2 2" xfId="11624"/>
    <cellStyle name="Note 2 3 5 2 3" xfId="32106"/>
    <cellStyle name="Note 2 3 5 3" xfId="7846"/>
    <cellStyle name="Note 2 3 5 3 2" xfId="17246"/>
    <cellStyle name="Note 2 3 5 3 2 2" xfId="30605"/>
    <cellStyle name="Note 2 3 5 3 3" xfId="32107"/>
    <cellStyle name="Note 2 3 5 4" xfId="10275"/>
    <cellStyle name="Note 2 3 5 5" xfId="32105"/>
    <cellStyle name="Note 2 3 6" xfId="7847"/>
    <cellStyle name="Note 2 3 6 2" xfId="7848"/>
    <cellStyle name="Note 2 3 6 2 2" xfId="13303"/>
    <cellStyle name="Note 2 3 6 2 3" xfId="32109"/>
    <cellStyle name="Note 2 3 6 3" xfId="7849"/>
    <cellStyle name="Note 2 3 6 3 2" xfId="16521"/>
    <cellStyle name="Note 2 3 6 3 2 2" xfId="29928"/>
    <cellStyle name="Note 2 3 6 3 3" xfId="32110"/>
    <cellStyle name="Note 2 3 6 4" xfId="11896"/>
    <cellStyle name="Note 2 3 6 4 2" xfId="25611"/>
    <cellStyle name="Note 2 3 6 5" xfId="32108"/>
    <cellStyle name="Note 2 3 7" xfId="7850"/>
    <cellStyle name="Note 2 3 7 2" xfId="7851"/>
    <cellStyle name="Note 2 3 7 2 2" xfId="15738"/>
    <cellStyle name="Note 2 3 7 2 3" xfId="32112"/>
    <cellStyle name="Note 2 3 7 3" xfId="13473"/>
    <cellStyle name="Note 2 3 7 3 2" xfId="27022"/>
    <cellStyle name="Note 2 3 7 4" xfId="32111"/>
    <cellStyle name="Note 2 3 8" xfId="7852"/>
    <cellStyle name="Note 2 3 8 2" xfId="14054"/>
    <cellStyle name="Note 2 3 8 2 2" xfId="27603"/>
    <cellStyle name="Note 2 3 8 3" xfId="32113"/>
    <cellStyle name="Note 2 3 9" xfId="7853"/>
    <cellStyle name="Note 2 3 9 2" xfId="15940"/>
    <cellStyle name="Note 2 3 9 2 2" xfId="29347"/>
    <cellStyle name="Note 2 3 9 3" xfId="32114"/>
    <cellStyle name="Note 2 30" xfId="33058"/>
    <cellStyle name="Note 2 4" xfId="7854"/>
    <cellStyle name="Note 2 4 10" xfId="32115"/>
    <cellStyle name="Note 2 4 2" xfId="7855"/>
    <cellStyle name="Note 2 4 2 2" xfId="7856"/>
    <cellStyle name="Note 2 4 2 2 2" xfId="7857"/>
    <cellStyle name="Note 2 4 2 2 2 2" xfId="7858"/>
    <cellStyle name="Note 2 4 2 2 2 2 2" xfId="11625"/>
    <cellStyle name="Note 2 4 2 2 2 2 3" xfId="32119"/>
    <cellStyle name="Note 2 4 2 2 2 3" xfId="7859"/>
    <cellStyle name="Note 2 4 2 2 2 3 2" xfId="16907"/>
    <cellStyle name="Note 2 4 2 2 2 3 2 2" xfId="30314"/>
    <cellStyle name="Note 2 4 2 2 2 3 3" xfId="32120"/>
    <cellStyle name="Note 2 4 2 2 2 4" xfId="10279"/>
    <cellStyle name="Note 2 4 2 2 2 5" xfId="32118"/>
    <cellStyle name="Note 2 4 2 2 3" xfId="7860"/>
    <cellStyle name="Note 2 4 2 2 3 2" xfId="7861"/>
    <cellStyle name="Note 2 4 2 2 3 2 2" xfId="13304"/>
    <cellStyle name="Note 2 4 2 2 3 2 3" xfId="32122"/>
    <cellStyle name="Note 2 4 2 2 3 3" xfId="12295"/>
    <cellStyle name="Note 2 4 2 2 3 3 2" xfId="26007"/>
    <cellStyle name="Note 2 4 2 2 3 4" xfId="32121"/>
    <cellStyle name="Note 2 4 2 2 4" xfId="7862"/>
    <cellStyle name="Note 2 4 2 2 4 2" xfId="7863"/>
    <cellStyle name="Note 2 4 2 2 4 2 2" xfId="15739"/>
    <cellStyle name="Note 2 4 2 2 4 2 3" xfId="32124"/>
    <cellStyle name="Note 2 4 2 2 4 3" xfId="13859"/>
    <cellStyle name="Note 2 4 2 2 4 3 2" xfId="27408"/>
    <cellStyle name="Note 2 4 2 2 4 4" xfId="32123"/>
    <cellStyle name="Note 2 4 2 2 5" xfId="7864"/>
    <cellStyle name="Note 2 4 2 2 5 2" xfId="14440"/>
    <cellStyle name="Note 2 4 2 2 5 2 2" xfId="27989"/>
    <cellStyle name="Note 2 4 2 2 5 3" xfId="32125"/>
    <cellStyle name="Note 2 4 2 2 6" xfId="7865"/>
    <cellStyle name="Note 2 4 2 2 6 2" xfId="16326"/>
    <cellStyle name="Note 2 4 2 2 6 2 2" xfId="29733"/>
    <cellStyle name="Note 2 4 2 2 6 3" xfId="32126"/>
    <cellStyle name="Note 2 4 2 2 7" xfId="10278"/>
    <cellStyle name="Note 2 4 2 2 8" xfId="32117"/>
    <cellStyle name="Note 2 4 2 3" xfId="7866"/>
    <cellStyle name="Note 2 4 2 3 2" xfId="7867"/>
    <cellStyle name="Note 2 4 2 3 2 2" xfId="11626"/>
    <cellStyle name="Note 2 4 2 3 2 3" xfId="32128"/>
    <cellStyle name="Note 2 4 2 3 3" xfId="7868"/>
    <cellStyle name="Note 2 4 2 3 3 2" xfId="16618"/>
    <cellStyle name="Note 2 4 2 3 3 2 2" xfId="30025"/>
    <cellStyle name="Note 2 4 2 3 3 3" xfId="32129"/>
    <cellStyle name="Note 2 4 2 3 4" xfId="10280"/>
    <cellStyle name="Note 2 4 2 3 5" xfId="32127"/>
    <cellStyle name="Note 2 4 2 4" xfId="7869"/>
    <cellStyle name="Note 2 4 2 4 2" xfId="7870"/>
    <cellStyle name="Note 2 4 2 4 2 2" xfId="13305"/>
    <cellStyle name="Note 2 4 2 4 2 3" xfId="32131"/>
    <cellStyle name="Note 2 4 2 4 3" xfId="11995"/>
    <cellStyle name="Note 2 4 2 4 3 2" xfId="25710"/>
    <cellStyle name="Note 2 4 2 4 4" xfId="32130"/>
    <cellStyle name="Note 2 4 2 5" xfId="7871"/>
    <cellStyle name="Note 2 4 2 5 2" xfId="7872"/>
    <cellStyle name="Note 2 4 2 5 2 2" xfId="15740"/>
    <cellStyle name="Note 2 4 2 5 2 3" xfId="32133"/>
    <cellStyle name="Note 2 4 2 5 3" xfId="13570"/>
    <cellStyle name="Note 2 4 2 5 3 2" xfId="27119"/>
    <cellStyle name="Note 2 4 2 5 4" xfId="32132"/>
    <cellStyle name="Note 2 4 2 6" xfId="7873"/>
    <cellStyle name="Note 2 4 2 6 2" xfId="14151"/>
    <cellStyle name="Note 2 4 2 6 2 2" xfId="27700"/>
    <cellStyle name="Note 2 4 2 6 3" xfId="32134"/>
    <cellStyle name="Note 2 4 2 7" xfId="7874"/>
    <cellStyle name="Note 2 4 2 7 2" xfId="16037"/>
    <cellStyle name="Note 2 4 2 7 2 2" xfId="29444"/>
    <cellStyle name="Note 2 4 2 7 3" xfId="32135"/>
    <cellStyle name="Note 2 4 2 8" xfId="10277"/>
    <cellStyle name="Note 2 4 2 9" xfId="32116"/>
    <cellStyle name="Note 2 4 3" xfId="7875"/>
    <cellStyle name="Note 2 4 3 2" xfId="7876"/>
    <cellStyle name="Note 2 4 3 2 2" xfId="7877"/>
    <cellStyle name="Note 2 4 3 2 2 2" xfId="11627"/>
    <cellStyle name="Note 2 4 3 2 2 3" xfId="32138"/>
    <cellStyle name="Note 2 4 3 2 3" xfId="7878"/>
    <cellStyle name="Note 2 4 3 2 3 2" xfId="16767"/>
    <cellStyle name="Note 2 4 3 2 3 2 2" xfId="30174"/>
    <cellStyle name="Note 2 4 3 2 3 3" xfId="32139"/>
    <cellStyle name="Note 2 4 3 2 4" xfId="10282"/>
    <cellStyle name="Note 2 4 3 2 5" xfId="32137"/>
    <cellStyle name="Note 2 4 3 3" xfId="7879"/>
    <cellStyle name="Note 2 4 3 3 2" xfId="7880"/>
    <cellStyle name="Note 2 4 3 3 2 2" xfId="13306"/>
    <cellStyle name="Note 2 4 3 3 2 3" xfId="32141"/>
    <cellStyle name="Note 2 4 3 3 3" xfId="12155"/>
    <cellStyle name="Note 2 4 3 3 3 2" xfId="25867"/>
    <cellStyle name="Note 2 4 3 3 4" xfId="32140"/>
    <cellStyle name="Note 2 4 3 4" xfId="7881"/>
    <cellStyle name="Note 2 4 3 4 2" xfId="7882"/>
    <cellStyle name="Note 2 4 3 4 2 2" xfId="15741"/>
    <cellStyle name="Note 2 4 3 4 2 3" xfId="32143"/>
    <cellStyle name="Note 2 4 3 4 3" xfId="13719"/>
    <cellStyle name="Note 2 4 3 4 3 2" xfId="27268"/>
    <cellStyle name="Note 2 4 3 4 4" xfId="32142"/>
    <cellStyle name="Note 2 4 3 5" xfId="7883"/>
    <cellStyle name="Note 2 4 3 5 2" xfId="14300"/>
    <cellStyle name="Note 2 4 3 5 2 2" xfId="27849"/>
    <cellStyle name="Note 2 4 3 5 3" xfId="32144"/>
    <cellStyle name="Note 2 4 3 6" xfId="7884"/>
    <cellStyle name="Note 2 4 3 6 2" xfId="16186"/>
    <cellStyle name="Note 2 4 3 6 2 2" xfId="29593"/>
    <cellStyle name="Note 2 4 3 6 3" xfId="32145"/>
    <cellStyle name="Note 2 4 3 7" xfId="10281"/>
    <cellStyle name="Note 2 4 3 8" xfId="32136"/>
    <cellStyle name="Note 2 4 4" xfId="7885"/>
    <cellStyle name="Note 2 4 4 2" xfId="7886"/>
    <cellStyle name="Note 2 4 4 2 2" xfId="11628"/>
    <cellStyle name="Note 2 4 4 2 3" xfId="32147"/>
    <cellStyle name="Note 2 4 4 3" xfId="7887"/>
    <cellStyle name="Note 2 4 4 3 2" xfId="16475"/>
    <cellStyle name="Note 2 4 4 3 2 2" xfId="29882"/>
    <cellStyle name="Note 2 4 4 3 3" xfId="32148"/>
    <cellStyle name="Note 2 4 4 4" xfId="10283"/>
    <cellStyle name="Note 2 4 4 5" xfId="32146"/>
    <cellStyle name="Note 2 4 5" xfId="7888"/>
    <cellStyle name="Note 2 4 5 2" xfId="7889"/>
    <cellStyle name="Note 2 4 5 2 2" xfId="13307"/>
    <cellStyle name="Note 2 4 5 2 3" xfId="32150"/>
    <cellStyle name="Note 2 4 5 3" xfId="11826"/>
    <cellStyle name="Note 2 4 5 3 2" xfId="25541"/>
    <cellStyle name="Note 2 4 5 4" xfId="32149"/>
    <cellStyle name="Note 2 4 6" xfId="7890"/>
    <cellStyle name="Note 2 4 6 2" xfId="7891"/>
    <cellStyle name="Note 2 4 6 2 2" xfId="15742"/>
    <cellStyle name="Note 2 4 6 2 3" xfId="32152"/>
    <cellStyle name="Note 2 4 6 3" xfId="13427"/>
    <cellStyle name="Note 2 4 6 3 2" xfId="26976"/>
    <cellStyle name="Note 2 4 6 4" xfId="32151"/>
    <cellStyle name="Note 2 4 7" xfId="7892"/>
    <cellStyle name="Note 2 4 7 2" xfId="14008"/>
    <cellStyle name="Note 2 4 7 2 2" xfId="27557"/>
    <cellStyle name="Note 2 4 7 3" xfId="32153"/>
    <cellStyle name="Note 2 4 8" xfId="7893"/>
    <cellStyle name="Note 2 4 8 2" xfId="15894"/>
    <cellStyle name="Note 2 4 8 2 2" xfId="29301"/>
    <cellStyle name="Note 2 4 8 3" xfId="32154"/>
    <cellStyle name="Note 2 4 9" xfId="10276"/>
    <cellStyle name="Note 2 5" xfId="7894"/>
    <cellStyle name="Note 2 5 10" xfId="32155"/>
    <cellStyle name="Note 2 5 2" xfId="7895"/>
    <cellStyle name="Note 2 5 2 2" xfId="7896"/>
    <cellStyle name="Note 2 5 2 2 2" xfId="7897"/>
    <cellStyle name="Note 2 5 2 2 2 2" xfId="7898"/>
    <cellStyle name="Note 2 5 2 2 2 2 2" xfId="11629"/>
    <cellStyle name="Note 2 5 2 2 2 2 3" xfId="32159"/>
    <cellStyle name="Note 2 5 2 2 2 3" xfId="7899"/>
    <cellStyle name="Note 2 5 2 2 2 3 2" xfId="16890"/>
    <cellStyle name="Note 2 5 2 2 2 3 2 2" xfId="30297"/>
    <cellStyle name="Note 2 5 2 2 2 3 3" xfId="32160"/>
    <cellStyle name="Note 2 5 2 2 2 4" xfId="10287"/>
    <cellStyle name="Note 2 5 2 2 2 5" xfId="32158"/>
    <cellStyle name="Note 2 5 2 2 3" xfId="7900"/>
    <cellStyle name="Note 2 5 2 2 3 2" xfId="7901"/>
    <cellStyle name="Note 2 5 2 2 3 2 2" xfId="13308"/>
    <cellStyle name="Note 2 5 2 2 3 2 3" xfId="32162"/>
    <cellStyle name="Note 2 5 2 2 3 3" xfId="12278"/>
    <cellStyle name="Note 2 5 2 2 3 3 2" xfId="25990"/>
    <cellStyle name="Note 2 5 2 2 3 4" xfId="32161"/>
    <cellStyle name="Note 2 5 2 2 4" xfId="7902"/>
    <cellStyle name="Note 2 5 2 2 4 2" xfId="7903"/>
    <cellStyle name="Note 2 5 2 2 4 2 2" xfId="15743"/>
    <cellStyle name="Note 2 5 2 2 4 2 3" xfId="32164"/>
    <cellStyle name="Note 2 5 2 2 4 3" xfId="13842"/>
    <cellStyle name="Note 2 5 2 2 4 3 2" xfId="27391"/>
    <cellStyle name="Note 2 5 2 2 4 4" xfId="32163"/>
    <cellStyle name="Note 2 5 2 2 5" xfId="7904"/>
    <cellStyle name="Note 2 5 2 2 5 2" xfId="14423"/>
    <cellStyle name="Note 2 5 2 2 5 2 2" xfId="27972"/>
    <cellStyle name="Note 2 5 2 2 5 3" xfId="32165"/>
    <cellStyle name="Note 2 5 2 2 6" xfId="7905"/>
    <cellStyle name="Note 2 5 2 2 6 2" xfId="16309"/>
    <cellStyle name="Note 2 5 2 2 6 2 2" xfId="29716"/>
    <cellStyle name="Note 2 5 2 2 6 3" xfId="32166"/>
    <cellStyle name="Note 2 5 2 2 7" xfId="10286"/>
    <cellStyle name="Note 2 5 2 2 8" xfId="32157"/>
    <cellStyle name="Note 2 5 2 3" xfId="7906"/>
    <cellStyle name="Note 2 5 2 3 2" xfId="7907"/>
    <cellStyle name="Note 2 5 2 3 2 2" xfId="11630"/>
    <cellStyle name="Note 2 5 2 3 2 3" xfId="32168"/>
    <cellStyle name="Note 2 5 2 3 3" xfId="7908"/>
    <cellStyle name="Note 2 5 2 3 3 2" xfId="16601"/>
    <cellStyle name="Note 2 5 2 3 3 2 2" xfId="30008"/>
    <cellStyle name="Note 2 5 2 3 3 3" xfId="32169"/>
    <cellStyle name="Note 2 5 2 3 4" xfId="10288"/>
    <cellStyle name="Note 2 5 2 3 5" xfId="32167"/>
    <cellStyle name="Note 2 5 2 4" xfId="7909"/>
    <cellStyle name="Note 2 5 2 4 2" xfId="7910"/>
    <cellStyle name="Note 2 5 2 4 2 2" xfId="13309"/>
    <cellStyle name="Note 2 5 2 4 2 3" xfId="32171"/>
    <cellStyle name="Note 2 5 2 4 3" xfId="11978"/>
    <cellStyle name="Note 2 5 2 4 3 2" xfId="25693"/>
    <cellStyle name="Note 2 5 2 4 4" xfId="32170"/>
    <cellStyle name="Note 2 5 2 5" xfId="7911"/>
    <cellStyle name="Note 2 5 2 5 2" xfId="7912"/>
    <cellStyle name="Note 2 5 2 5 2 2" xfId="15744"/>
    <cellStyle name="Note 2 5 2 5 2 3" xfId="32173"/>
    <cellStyle name="Note 2 5 2 5 3" xfId="13553"/>
    <cellStyle name="Note 2 5 2 5 3 2" xfId="27102"/>
    <cellStyle name="Note 2 5 2 5 4" xfId="32172"/>
    <cellStyle name="Note 2 5 2 6" xfId="7913"/>
    <cellStyle name="Note 2 5 2 6 2" xfId="14134"/>
    <cellStyle name="Note 2 5 2 6 2 2" xfId="27683"/>
    <cellStyle name="Note 2 5 2 6 3" xfId="32174"/>
    <cellStyle name="Note 2 5 2 7" xfId="7914"/>
    <cellStyle name="Note 2 5 2 7 2" xfId="16020"/>
    <cellStyle name="Note 2 5 2 7 2 2" xfId="29427"/>
    <cellStyle name="Note 2 5 2 7 3" xfId="32175"/>
    <cellStyle name="Note 2 5 2 8" xfId="10285"/>
    <cellStyle name="Note 2 5 2 9" xfId="32156"/>
    <cellStyle name="Note 2 5 3" xfId="7915"/>
    <cellStyle name="Note 2 5 3 2" xfId="7916"/>
    <cellStyle name="Note 2 5 3 2 2" xfId="7917"/>
    <cellStyle name="Note 2 5 3 2 2 2" xfId="11631"/>
    <cellStyle name="Note 2 5 3 2 2 3" xfId="32178"/>
    <cellStyle name="Note 2 5 3 2 3" xfId="7918"/>
    <cellStyle name="Note 2 5 3 2 3 2" xfId="16750"/>
    <cellStyle name="Note 2 5 3 2 3 2 2" xfId="30157"/>
    <cellStyle name="Note 2 5 3 2 3 3" xfId="32179"/>
    <cellStyle name="Note 2 5 3 2 4" xfId="10290"/>
    <cellStyle name="Note 2 5 3 2 5" xfId="32177"/>
    <cellStyle name="Note 2 5 3 3" xfId="7919"/>
    <cellStyle name="Note 2 5 3 3 2" xfId="7920"/>
    <cellStyle name="Note 2 5 3 3 2 2" xfId="13310"/>
    <cellStyle name="Note 2 5 3 3 2 3" xfId="32181"/>
    <cellStyle name="Note 2 5 3 3 3" xfId="12138"/>
    <cellStyle name="Note 2 5 3 3 3 2" xfId="25850"/>
    <cellStyle name="Note 2 5 3 3 4" xfId="32180"/>
    <cellStyle name="Note 2 5 3 4" xfId="7921"/>
    <cellStyle name="Note 2 5 3 4 2" xfId="7922"/>
    <cellStyle name="Note 2 5 3 4 2 2" xfId="15745"/>
    <cellStyle name="Note 2 5 3 4 2 3" xfId="32183"/>
    <cellStyle name="Note 2 5 3 4 3" xfId="13702"/>
    <cellStyle name="Note 2 5 3 4 3 2" xfId="27251"/>
    <cellStyle name="Note 2 5 3 4 4" xfId="32182"/>
    <cellStyle name="Note 2 5 3 5" xfId="7923"/>
    <cellStyle name="Note 2 5 3 5 2" xfId="14283"/>
    <cellStyle name="Note 2 5 3 5 2 2" xfId="27832"/>
    <cellStyle name="Note 2 5 3 5 3" xfId="32184"/>
    <cellStyle name="Note 2 5 3 6" xfId="7924"/>
    <cellStyle name="Note 2 5 3 6 2" xfId="16169"/>
    <cellStyle name="Note 2 5 3 6 2 2" xfId="29576"/>
    <cellStyle name="Note 2 5 3 6 3" xfId="32185"/>
    <cellStyle name="Note 2 5 3 7" xfId="10289"/>
    <cellStyle name="Note 2 5 3 8" xfId="32176"/>
    <cellStyle name="Note 2 5 4" xfId="7925"/>
    <cellStyle name="Note 2 5 4 2" xfId="7926"/>
    <cellStyle name="Note 2 5 4 2 2" xfId="11632"/>
    <cellStyle name="Note 2 5 4 2 3" xfId="32187"/>
    <cellStyle name="Note 2 5 4 3" xfId="7927"/>
    <cellStyle name="Note 2 5 4 3 2" xfId="16458"/>
    <cellStyle name="Note 2 5 4 3 2 2" xfId="29865"/>
    <cellStyle name="Note 2 5 4 3 3" xfId="32188"/>
    <cellStyle name="Note 2 5 4 4" xfId="10291"/>
    <cellStyle name="Note 2 5 4 5" xfId="32186"/>
    <cellStyle name="Note 2 5 5" xfId="7928"/>
    <cellStyle name="Note 2 5 5 2" xfId="7929"/>
    <cellStyle name="Note 2 5 5 2 2" xfId="13311"/>
    <cellStyle name="Note 2 5 5 2 3" xfId="32190"/>
    <cellStyle name="Note 2 5 5 3" xfId="11809"/>
    <cellStyle name="Note 2 5 5 3 2" xfId="25524"/>
    <cellStyle name="Note 2 5 5 4" xfId="32189"/>
    <cellStyle name="Note 2 5 6" xfId="7930"/>
    <cellStyle name="Note 2 5 6 2" xfId="7931"/>
    <cellStyle name="Note 2 5 6 2 2" xfId="15746"/>
    <cellStyle name="Note 2 5 6 2 3" xfId="32192"/>
    <cellStyle name="Note 2 5 6 3" xfId="13410"/>
    <cellStyle name="Note 2 5 6 3 2" xfId="26959"/>
    <cellStyle name="Note 2 5 6 4" xfId="32191"/>
    <cellStyle name="Note 2 5 7" xfId="7932"/>
    <cellStyle name="Note 2 5 7 2" xfId="13991"/>
    <cellStyle name="Note 2 5 7 2 2" xfId="27540"/>
    <cellStyle name="Note 2 5 7 3" xfId="32193"/>
    <cellStyle name="Note 2 5 8" xfId="7933"/>
    <cellStyle name="Note 2 5 8 2" xfId="15877"/>
    <cellStyle name="Note 2 5 8 2 2" xfId="29284"/>
    <cellStyle name="Note 2 5 8 3" xfId="32194"/>
    <cellStyle name="Note 2 5 9" xfId="10284"/>
    <cellStyle name="Note 2 6" xfId="7934"/>
    <cellStyle name="Note 2 6 10" xfId="32195"/>
    <cellStyle name="Note 2 6 2" xfId="7935"/>
    <cellStyle name="Note 2 6 2 2" xfId="7936"/>
    <cellStyle name="Note 2 6 2 2 2" xfId="7937"/>
    <cellStyle name="Note 2 6 2 2 2 2" xfId="7938"/>
    <cellStyle name="Note 2 6 2 2 2 2 2" xfId="11633"/>
    <cellStyle name="Note 2 6 2 2 2 2 3" xfId="32199"/>
    <cellStyle name="Note 2 6 2 2 2 3" xfId="7939"/>
    <cellStyle name="Note 2 6 2 2 2 3 2" xfId="16996"/>
    <cellStyle name="Note 2 6 2 2 2 3 2 2" xfId="30403"/>
    <cellStyle name="Note 2 6 2 2 2 3 3" xfId="32200"/>
    <cellStyle name="Note 2 6 2 2 2 4" xfId="10295"/>
    <cellStyle name="Note 2 6 2 2 2 5" xfId="32198"/>
    <cellStyle name="Note 2 6 2 2 3" xfId="7940"/>
    <cellStyle name="Note 2 6 2 2 3 2" xfId="7941"/>
    <cellStyle name="Note 2 6 2 2 3 2 2" xfId="13312"/>
    <cellStyle name="Note 2 6 2 2 3 2 3" xfId="32202"/>
    <cellStyle name="Note 2 6 2 2 3 3" xfId="12384"/>
    <cellStyle name="Note 2 6 2 2 3 3 2" xfId="26096"/>
    <cellStyle name="Note 2 6 2 2 3 4" xfId="32201"/>
    <cellStyle name="Note 2 6 2 2 4" xfId="7942"/>
    <cellStyle name="Note 2 6 2 2 4 2" xfId="7943"/>
    <cellStyle name="Note 2 6 2 2 4 2 2" xfId="15747"/>
    <cellStyle name="Note 2 6 2 2 4 2 3" xfId="32204"/>
    <cellStyle name="Note 2 6 2 2 4 3" xfId="13948"/>
    <cellStyle name="Note 2 6 2 2 4 3 2" xfId="27497"/>
    <cellStyle name="Note 2 6 2 2 4 4" xfId="32203"/>
    <cellStyle name="Note 2 6 2 2 5" xfId="7944"/>
    <cellStyle name="Note 2 6 2 2 5 2" xfId="14529"/>
    <cellStyle name="Note 2 6 2 2 5 2 2" xfId="28078"/>
    <cellStyle name="Note 2 6 2 2 5 3" xfId="32205"/>
    <cellStyle name="Note 2 6 2 2 6" xfId="7945"/>
    <cellStyle name="Note 2 6 2 2 6 2" xfId="16415"/>
    <cellStyle name="Note 2 6 2 2 6 2 2" xfId="29822"/>
    <cellStyle name="Note 2 6 2 2 6 3" xfId="32206"/>
    <cellStyle name="Note 2 6 2 2 7" xfId="10294"/>
    <cellStyle name="Note 2 6 2 2 8" xfId="32197"/>
    <cellStyle name="Note 2 6 2 3" xfId="7946"/>
    <cellStyle name="Note 2 6 2 3 2" xfId="7947"/>
    <cellStyle name="Note 2 6 2 3 2 2" xfId="11634"/>
    <cellStyle name="Note 2 6 2 3 2 3" xfId="32208"/>
    <cellStyle name="Note 2 6 2 3 3" xfId="7948"/>
    <cellStyle name="Note 2 6 2 3 3 2" xfId="16707"/>
    <cellStyle name="Note 2 6 2 3 3 2 2" xfId="30114"/>
    <cellStyle name="Note 2 6 2 3 3 3" xfId="32209"/>
    <cellStyle name="Note 2 6 2 3 4" xfId="10296"/>
    <cellStyle name="Note 2 6 2 3 5" xfId="32207"/>
    <cellStyle name="Note 2 6 2 4" xfId="7949"/>
    <cellStyle name="Note 2 6 2 4 2" xfId="7950"/>
    <cellStyle name="Note 2 6 2 4 2 2" xfId="13313"/>
    <cellStyle name="Note 2 6 2 4 2 3" xfId="32211"/>
    <cellStyle name="Note 2 6 2 4 3" xfId="12084"/>
    <cellStyle name="Note 2 6 2 4 3 2" xfId="25799"/>
    <cellStyle name="Note 2 6 2 4 4" xfId="32210"/>
    <cellStyle name="Note 2 6 2 5" xfId="7951"/>
    <cellStyle name="Note 2 6 2 5 2" xfId="7952"/>
    <cellStyle name="Note 2 6 2 5 2 2" xfId="15748"/>
    <cellStyle name="Note 2 6 2 5 2 3" xfId="32213"/>
    <cellStyle name="Note 2 6 2 5 3" xfId="13659"/>
    <cellStyle name="Note 2 6 2 5 3 2" xfId="27208"/>
    <cellStyle name="Note 2 6 2 5 4" xfId="32212"/>
    <cellStyle name="Note 2 6 2 6" xfId="7953"/>
    <cellStyle name="Note 2 6 2 6 2" xfId="14240"/>
    <cellStyle name="Note 2 6 2 6 2 2" xfId="27789"/>
    <cellStyle name="Note 2 6 2 6 3" xfId="32214"/>
    <cellStyle name="Note 2 6 2 7" xfId="7954"/>
    <cellStyle name="Note 2 6 2 7 2" xfId="16126"/>
    <cellStyle name="Note 2 6 2 7 2 2" xfId="29533"/>
    <cellStyle name="Note 2 6 2 7 3" xfId="32215"/>
    <cellStyle name="Note 2 6 2 8" xfId="10293"/>
    <cellStyle name="Note 2 6 2 9" xfId="32196"/>
    <cellStyle name="Note 2 6 3" xfId="7955"/>
    <cellStyle name="Note 2 6 3 2" xfId="7956"/>
    <cellStyle name="Note 2 6 3 2 2" xfId="7957"/>
    <cellStyle name="Note 2 6 3 2 2 2" xfId="11635"/>
    <cellStyle name="Note 2 6 3 2 2 3" xfId="32218"/>
    <cellStyle name="Note 2 6 3 2 3" xfId="7958"/>
    <cellStyle name="Note 2 6 3 2 3 2" xfId="16853"/>
    <cellStyle name="Note 2 6 3 2 3 2 2" xfId="30260"/>
    <cellStyle name="Note 2 6 3 2 3 3" xfId="32219"/>
    <cellStyle name="Note 2 6 3 2 4" xfId="10298"/>
    <cellStyle name="Note 2 6 3 2 5" xfId="32217"/>
    <cellStyle name="Note 2 6 3 3" xfId="7959"/>
    <cellStyle name="Note 2 6 3 3 2" xfId="7960"/>
    <cellStyle name="Note 2 6 3 3 2 2" xfId="13314"/>
    <cellStyle name="Note 2 6 3 3 2 3" xfId="32221"/>
    <cellStyle name="Note 2 6 3 3 3" xfId="12241"/>
    <cellStyle name="Note 2 6 3 3 3 2" xfId="25953"/>
    <cellStyle name="Note 2 6 3 3 4" xfId="32220"/>
    <cellStyle name="Note 2 6 3 4" xfId="7961"/>
    <cellStyle name="Note 2 6 3 4 2" xfId="7962"/>
    <cellStyle name="Note 2 6 3 4 2 2" xfId="15749"/>
    <cellStyle name="Note 2 6 3 4 2 3" xfId="32223"/>
    <cellStyle name="Note 2 6 3 4 3" xfId="13805"/>
    <cellStyle name="Note 2 6 3 4 3 2" xfId="27354"/>
    <cellStyle name="Note 2 6 3 4 4" xfId="32222"/>
    <cellStyle name="Note 2 6 3 5" xfId="7963"/>
    <cellStyle name="Note 2 6 3 5 2" xfId="14386"/>
    <cellStyle name="Note 2 6 3 5 2 2" xfId="27935"/>
    <cellStyle name="Note 2 6 3 5 3" xfId="32224"/>
    <cellStyle name="Note 2 6 3 6" xfId="7964"/>
    <cellStyle name="Note 2 6 3 6 2" xfId="16272"/>
    <cellStyle name="Note 2 6 3 6 2 2" xfId="29679"/>
    <cellStyle name="Note 2 6 3 6 3" xfId="32225"/>
    <cellStyle name="Note 2 6 3 7" xfId="10297"/>
    <cellStyle name="Note 2 6 3 8" xfId="32216"/>
    <cellStyle name="Note 2 6 4" xfId="7965"/>
    <cellStyle name="Note 2 6 4 2" xfId="7966"/>
    <cellStyle name="Note 2 6 4 2 2" xfId="11636"/>
    <cellStyle name="Note 2 6 4 2 3" xfId="32227"/>
    <cellStyle name="Note 2 6 4 3" xfId="7967"/>
    <cellStyle name="Note 2 6 4 3 2" xfId="16564"/>
    <cellStyle name="Note 2 6 4 3 2 2" xfId="29971"/>
    <cellStyle name="Note 2 6 4 3 3" xfId="32228"/>
    <cellStyle name="Note 2 6 4 4" xfId="10299"/>
    <cellStyle name="Note 2 6 4 5" xfId="32226"/>
    <cellStyle name="Note 2 6 5" xfId="7968"/>
    <cellStyle name="Note 2 6 5 2" xfId="7969"/>
    <cellStyle name="Note 2 6 5 2 2" xfId="13315"/>
    <cellStyle name="Note 2 6 5 2 3" xfId="32230"/>
    <cellStyle name="Note 2 6 5 3" xfId="11939"/>
    <cellStyle name="Note 2 6 5 3 2" xfId="25654"/>
    <cellStyle name="Note 2 6 5 4" xfId="32229"/>
    <cellStyle name="Note 2 6 6" xfId="7970"/>
    <cellStyle name="Note 2 6 6 2" xfId="7971"/>
    <cellStyle name="Note 2 6 6 2 2" xfId="15750"/>
    <cellStyle name="Note 2 6 6 2 3" xfId="32232"/>
    <cellStyle name="Note 2 6 6 3" xfId="13516"/>
    <cellStyle name="Note 2 6 6 3 2" xfId="27065"/>
    <cellStyle name="Note 2 6 6 4" xfId="32231"/>
    <cellStyle name="Note 2 6 7" xfId="7972"/>
    <cellStyle name="Note 2 6 7 2" xfId="14097"/>
    <cellStyle name="Note 2 6 7 2 2" xfId="27646"/>
    <cellStyle name="Note 2 6 7 3" xfId="32233"/>
    <cellStyle name="Note 2 6 8" xfId="7973"/>
    <cellStyle name="Note 2 6 8 2" xfId="15983"/>
    <cellStyle name="Note 2 6 8 2 2" xfId="29390"/>
    <cellStyle name="Note 2 6 8 3" xfId="32234"/>
    <cellStyle name="Note 2 6 9" xfId="10292"/>
    <cellStyle name="Note 2 7" xfId="7974"/>
    <cellStyle name="Note 2 7 2" xfId="7975"/>
    <cellStyle name="Note 2 7 2 2" xfId="7976"/>
    <cellStyle name="Note 2 7 2 2 2" xfId="7977"/>
    <cellStyle name="Note 2 7 2 2 2 2" xfId="11637"/>
    <cellStyle name="Note 2 7 2 2 2 3" xfId="32238"/>
    <cellStyle name="Note 2 7 2 2 3" xfId="7978"/>
    <cellStyle name="Note 2 7 2 2 3 2" xfId="16873"/>
    <cellStyle name="Note 2 7 2 2 3 2 2" xfId="30280"/>
    <cellStyle name="Note 2 7 2 2 3 3" xfId="32239"/>
    <cellStyle name="Note 2 7 2 2 4" xfId="10302"/>
    <cellStyle name="Note 2 7 2 2 5" xfId="32237"/>
    <cellStyle name="Note 2 7 2 3" xfId="7979"/>
    <cellStyle name="Note 2 7 2 3 2" xfId="7980"/>
    <cellStyle name="Note 2 7 2 3 2 2" xfId="13316"/>
    <cellStyle name="Note 2 7 2 3 2 3" xfId="32241"/>
    <cellStyle name="Note 2 7 2 3 3" xfId="12261"/>
    <cellStyle name="Note 2 7 2 3 3 2" xfId="25973"/>
    <cellStyle name="Note 2 7 2 3 4" xfId="32240"/>
    <cellStyle name="Note 2 7 2 4" xfId="7981"/>
    <cellStyle name="Note 2 7 2 4 2" xfId="7982"/>
    <cellStyle name="Note 2 7 2 4 2 2" xfId="15751"/>
    <cellStyle name="Note 2 7 2 4 2 3" xfId="32243"/>
    <cellStyle name="Note 2 7 2 4 3" xfId="13825"/>
    <cellStyle name="Note 2 7 2 4 3 2" xfId="27374"/>
    <cellStyle name="Note 2 7 2 4 4" xfId="32242"/>
    <cellStyle name="Note 2 7 2 5" xfId="7983"/>
    <cellStyle name="Note 2 7 2 5 2" xfId="14406"/>
    <cellStyle name="Note 2 7 2 5 2 2" xfId="27955"/>
    <cellStyle name="Note 2 7 2 5 3" xfId="32244"/>
    <cellStyle name="Note 2 7 2 6" xfId="7984"/>
    <cellStyle name="Note 2 7 2 6 2" xfId="16292"/>
    <cellStyle name="Note 2 7 2 6 2 2" xfId="29699"/>
    <cellStyle name="Note 2 7 2 6 3" xfId="32245"/>
    <cellStyle name="Note 2 7 2 7" xfId="10301"/>
    <cellStyle name="Note 2 7 2 8" xfId="32236"/>
    <cellStyle name="Note 2 7 3" xfId="7985"/>
    <cellStyle name="Note 2 7 3 2" xfId="7986"/>
    <cellStyle name="Note 2 7 3 2 2" xfId="11638"/>
    <cellStyle name="Note 2 7 3 2 3" xfId="32247"/>
    <cellStyle name="Note 2 7 3 3" xfId="7987"/>
    <cellStyle name="Note 2 7 3 3 2" xfId="16584"/>
    <cellStyle name="Note 2 7 3 3 2 2" xfId="29991"/>
    <cellStyle name="Note 2 7 3 3 3" xfId="32248"/>
    <cellStyle name="Note 2 7 3 4" xfId="10303"/>
    <cellStyle name="Note 2 7 3 5" xfId="32246"/>
    <cellStyle name="Note 2 7 4" xfId="7988"/>
    <cellStyle name="Note 2 7 4 2" xfId="7989"/>
    <cellStyle name="Note 2 7 4 2 2" xfId="13317"/>
    <cellStyle name="Note 2 7 4 2 3" xfId="32250"/>
    <cellStyle name="Note 2 7 4 3" xfId="11961"/>
    <cellStyle name="Note 2 7 4 3 2" xfId="25676"/>
    <cellStyle name="Note 2 7 4 4" xfId="32249"/>
    <cellStyle name="Note 2 7 5" xfId="7990"/>
    <cellStyle name="Note 2 7 5 2" xfId="7991"/>
    <cellStyle name="Note 2 7 5 2 2" xfId="15752"/>
    <cellStyle name="Note 2 7 5 2 3" xfId="32252"/>
    <cellStyle name="Note 2 7 5 3" xfId="13536"/>
    <cellStyle name="Note 2 7 5 3 2" xfId="27085"/>
    <cellStyle name="Note 2 7 5 4" xfId="32251"/>
    <cellStyle name="Note 2 7 6" xfId="7992"/>
    <cellStyle name="Note 2 7 6 2" xfId="14117"/>
    <cellStyle name="Note 2 7 6 2 2" xfId="27666"/>
    <cellStyle name="Note 2 7 6 3" xfId="32253"/>
    <cellStyle name="Note 2 7 7" xfId="7993"/>
    <cellStyle name="Note 2 7 7 2" xfId="16003"/>
    <cellStyle name="Note 2 7 7 2 2" xfId="29410"/>
    <cellStyle name="Note 2 7 7 3" xfId="32254"/>
    <cellStyle name="Note 2 7 8" xfId="10300"/>
    <cellStyle name="Note 2 7 9" xfId="32235"/>
    <cellStyle name="Note 2 8" xfId="7994"/>
    <cellStyle name="Note 2 8 2" xfId="7995"/>
    <cellStyle name="Note 2 8 2 2" xfId="7996"/>
    <cellStyle name="Note 2 8 2 2 2" xfId="11639"/>
    <cellStyle name="Note 2 8 2 2 3" xfId="32257"/>
    <cellStyle name="Note 2 8 2 3" xfId="7997"/>
    <cellStyle name="Note 2 8 2 3 2" xfId="16729"/>
    <cellStyle name="Note 2 8 2 3 2 2" xfId="30136"/>
    <cellStyle name="Note 2 8 2 3 3" xfId="32258"/>
    <cellStyle name="Note 2 8 2 4" xfId="10305"/>
    <cellStyle name="Note 2 8 2 5" xfId="32256"/>
    <cellStyle name="Note 2 8 3" xfId="7998"/>
    <cellStyle name="Note 2 8 3 2" xfId="7999"/>
    <cellStyle name="Note 2 8 3 2 2" xfId="13318"/>
    <cellStyle name="Note 2 8 3 2 3" xfId="32260"/>
    <cellStyle name="Note 2 8 3 3" xfId="12117"/>
    <cellStyle name="Note 2 8 3 3 2" xfId="25829"/>
    <cellStyle name="Note 2 8 3 4" xfId="32259"/>
    <cellStyle name="Note 2 8 4" xfId="8000"/>
    <cellStyle name="Note 2 8 4 2" xfId="8001"/>
    <cellStyle name="Note 2 8 4 2 2" xfId="15753"/>
    <cellStyle name="Note 2 8 4 2 3" xfId="32262"/>
    <cellStyle name="Note 2 8 4 3" xfId="13681"/>
    <cellStyle name="Note 2 8 4 3 2" xfId="27230"/>
    <cellStyle name="Note 2 8 4 4" xfId="32261"/>
    <cellStyle name="Note 2 8 5" xfId="8002"/>
    <cellStyle name="Note 2 8 5 2" xfId="14262"/>
    <cellStyle name="Note 2 8 5 2 2" xfId="27811"/>
    <cellStyle name="Note 2 8 5 3" xfId="32263"/>
    <cellStyle name="Note 2 8 6" xfId="8003"/>
    <cellStyle name="Note 2 8 6 2" xfId="16148"/>
    <cellStyle name="Note 2 8 6 2 2" xfId="29555"/>
    <cellStyle name="Note 2 8 6 3" xfId="32264"/>
    <cellStyle name="Note 2 8 7" xfId="10304"/>
    <cellStyle name="Note 2 8 8" xfId="32255"/>
    <cellStyle name="Note 2 9" xfId="8004"/>
    <cellStyle name="Note 2 9 2" xfId="8005"/>
    <cellStyle name="Note 2 9 2 2" xfId="13319"/>
    <cellStyle name="Note 2 9 2 3" xfId="32266"/>
    <cellStyle name="Note 2 9 3" xfId="8006"/>
    <cellStyle name="Note 2 9 3 2" xfId="17052"/>
    <cellStyle name="Note 2 9 3 2 2" xfId="30451"/>
    <cellStyle name="Note 2 9 3 3" xfId="32267"/>
    <cellStyle name="Note 2 9 4" xfId="10306"/>
    <cellStyle name="Note 2 9 5" xfId="32265"/>
    <cellStyle name="Note 3" xfId="8007"/>
    <cellStyle name="Note 3 10" xfId="10307"/>
    <cellStyle name="Note 3 11" xfId="32268"/>
    <cellStyle name="Note 3 2" xfId="8008"/>
    <cellStyle name="Note 3 2 10" xfId="32269"/>
    <cellStyle name="Note 3 2 2" xfId="8009"/>
    <cellStyle name="Note 3 2 2 2" xfId="8010"/>
    <cellStyle name="Note 3 2 2 2 2" xfId="8011"/>
    <cellStyle name="Note 3 2 2 2 2 2" xfId="8012"/>
    <cellStyle name="Note 3 2 2 2 2 2 2" xfId="11640"/>
    <cellStyle name="Note 3 2 2 2 2 2 3" xfId="32273"/>
    <cellStyle name="Note 3 2 2 2 2 3" xfId="8013"/>
    <cellStyle name="Note 3 2 2 2 2 3 2" xfId="16960"/>
    <cellStyle name="Note 3 2 2 2 2 3 2 2" xfId="30367"/>
    <cellStyle name="Note 3 2 2 2 2 3 3" xfId="32274"/>
    <cellStyle name="Note 3 2 2 2 2 4" xfId="10311"/>
    <cellStyle name="Note 3 2 2 2 2 5" xfId="32272"/>
    <cellStyle name="Note 3 2 2 2 3" xfId="8014"/>
    <cellStyle name="Note 3 2 2 2 3 2" xfId="8015"/>
    <cellStyle name="Note 3 2 2 2 3 2 2" xfId="13320"/>
    <cellStyle name="Note 3 2 2 2 3 2 3" xfId="32276"/>
    <cellStyle name="Note 3 2 2 2 3 3" xfId="12348"/>
    <cellStyle name="Note 3 2 2 2 3 3 2" xfId="26060"/>
    <cellStyle name="Note 3 2 2 2 3 4" xfId="32275"/>
    <cellStyle name="Note 3 2 2 2 4" xfId="8016"/>
    <cellStyle name="Note 3 2 2 2 4 2" xfId="8017"/>
    <cellStyle name="Note 3 2 2 2 4 2 2" xfId="15754"/>
    <cellStyle name="Note 3 2 2 2 4 2 3" xfId="32278"/>
    <cellStyle name="Note 3 2 2 2 4 3" xfId="13912"/>
    <cellStyle name="Note 3 2 2 2 4 3 2" xfId="27461"/>
    <cellStyle name="Note 3 2 2 2 4 4" xfId="32277"/>
    <cellStyle name="Note 3 2 2 2 5" xfId="8018"/>
    <cellStyle name="Note 3 2 2 2 5 2" xfId="14493"/>
    <cellStyle name="Note 3 2 2 2 5 2 2" xfId="28042"/>
    <cellStyle name="Note 3 2 2 2 5 3" xfId="32279"/>
    <cellStyle name="Note 3 2 2 2 6" xfId="8019"/>
    <cellStyle name="Note 3 2 2 2 6 2" xfId="16379"/>
    <cellStyle name="Note 3 2 2 2 6 2 2" xfId="29786"/>
    <cellStyle name="Note 3 2 2 2 6 3" xfId="32280"/>
    <cellStyle name="Note 3 2 2 2 7" xfId="10310"/>
    <cellStyle name="Note 3 2 2 2 8" xfId="32271"/>
    <cellStyle name="Note 3 2 2 3" xfId="8020"/>
    <cellStyle name="Note 3 2 2 3 2" xfId="8021"/>
    <cellStyle name="Note 3 2 2 3 2 2" xfId="11641"/>
    <cellStyle name="Note 3 2 2 3 2 3" xfId="32282"/>
    <cellStyle name="Note 3 2 2 3 3" xfId="8022"/>
    <cellStyle name="Note 3 2 2 3 3 2" xfId="16671"/>
    <cellStyle name="Note 3 2 2 3 3 2 2" xfId="30078"/>
    <cellStyle name="Note 3 2 2 3 3 3" xfId="32283"/>
    <cellStyle name="Note 3 2 2 3 4" xfId="10312"/>
    <cellStyle name="Note 3 2 2 3 5" xfId="32281"/>
    <cellStyle name="Note 3 2 2 4" xfId="8023"/>
    <cellStyle name="Note 3 2 2 4 2" xfId="8024"/>
    <cellStyle name="Note 3 2 2 4 2 2" xfId="13321"/>
    <cellStyle name="Note 3 2 2 4 2 3" xfId="32285"/>
    <cellStyle name="Note 3 2 2 4 3" xfId="12048"/>
    <cellStyle name="Note 3 2 2 4 3 2" xfId="25763"/>
    <cellStyle name="Note 3 2 2 4 4" xfId="32284"/>
    <cellStyle name="Note 3 2 2 5" xfId="8025"/>
    <cellStyle name="Note 3 2 2 5 2" xfId="8026"/>
    <cellStyle name="Note 3 2 2 5 2 2" xfId="15755"/>
    <cellStyle name="Note 3 2 2 5 2 3" xfId="32287"/>
    <cellStyle name="Note 3 2 2 5 3" xfId="13623"/>
    <cellStyle name="Note 3 2 2 5 3 2" xfId="27172"/>
    <cellStyle name="Note 3 2 2 5 4" xfId="32286"/>
    <cellStyle name="Note 3 2 2 6" xfId="8027"/>
    <cellStyle name="Note 3 2 2 6 2" xfId="14204"/>
    <cellStyle name="Note 3 2 2 6 2 2" xfId="27753"/>
    <cellStyle name="Note 3 2 2 6 3" xfId="32288"/>
    <cellStyle name="Note 3 2 2 7" xfId="8028"/>
    <cellStyle name="Note 3 2 2 7 2" xfId="16090"/>
    <cellStyle name="Note 3 2 2 7 2 2" xfId="29497"/>
    <cellStyle name="Note 3 2 2 7 3" xfId="32289"/>
    <cellStyle name="Note 3 2 2 8" xfId="10309"/>
    <cellStyle name="Note 3 2 2 9" xfId="32270"/>
    <cellStyle name="Note 3 2 3" xfId="8029"/>
    <cellStyle name="Note 3 2 3 2" xfId="8030"/>
    <cellStyle name="Note 3 2 3 2 2" xfId="8031"/>
    <cellStyle name="Note 3 2 3 2 2 2" xfId="11642"/>
    <cellStyle name="Note 3 2 3 2 2 3" xfId="32292"/>
    <cellStyle name="Note 3 2 3 2 3" xfId="8032"/>
    <cellStyle name="Note 3 2 3 2 3 2" xfId="16817"/>
    <cellStyle name="Note 3 2 3 2 3 2 2" xfId="30224"/>
    <cellStyle name="Note 3 2 3 2 3 3" xfId="32293"/>
    <cellStyle name="Note 3 2 3 2 4" xfId="10314"/>
    <cellStyle name="Note 3 2 3 2 5" xfId="32291"/>
    <cellStyle name="Note 3 2 3 3" xfId="8033"/>
    <cellStyle name="Note 3 2 3 3 2" xfId="8034"/>
    <cellStyle name="Note 3 2 3 3 2 2" xfId="13322"/>
    <cellStyle name="Note 3 2 3 3 2 3" xfId="32295"/>
    <cellStyle name="Note 3 2 3 3 3" xfId="12205"/>
    <cellStyle name="Note 3 2 3 3 3 2" xfId="25917"/>
    <cellStyle name="Note 3 2 3 3 4" xfId="32294"/>
    <cellStyle name="Note 3 2 3 4" xfId="8035"/>
    <cellStyle name="Note 3 2 3 4 2" xfId="8036"/>
    <cellStyle name="Note 3 2 3 4 2 2" xfId="15756"/>
    <cellStyle name="Note 3 2 3 4 2 3" xfId="32297"/>
    <cellStyle name="Note 3 2 3 4 3" xfId="13769"/>
    <cellStyle name="Note 3 2 3 4 3 2" xfId="27318"/>
    <cellStyle name="Note 3 2 3 4 4" xfId="32296"/>
    <cellStyle name="Note 3 2 3 5" xfId="8037"/>
    <cellStyle name="Note 3 2 3 5 2" xfId="14350"/>
    <cellStyle name="Note 3 2 3 5 2 2" xfId="27899"/>
    <cellStyle name="Note 3 2 3 5 3" xfId="32298"/>
    <cellStyle name="Note 3 2 3 6" xfId="8038"/>
    <cellStyle name="Note 3 2 3 6 2" xfId="16236"/>
    <cellStyle name="Note 3 2 3 6 2 2" xfId="29643"/>
    <cellStyle name="Note 3 2 3 6 3" xfId="32299"/>
    <cellStyle name="Note 3 2 3 7" xfId="10313"/>
    <cellStyle name="Note 3 2 3 8" xfId="32290"/>
    <cellStyle name="Note 3 2 4" xfId="8039"/>
    <cellStyle name="Note 3 2 4 2" xfId="8040"/>
    <cellStyle name="Note 3 2 4 2 2" xfId="11643"/>
    <cellStyle name="Note 3 2 4 2 3" xfId="32301"/>
    <cellStyle name="Note 3 2 4 3" xfId="8041"/>
    <cellStyle name="Note 3 2 4 3 2" xfId="17164"/>
    <cellStyle name="Note 3 2 4 3 2 2" xfId="30523"/>
    <cellStyle name="Note 3 2 4 3 3" xfId="32302"/>
    <cellStyle name="Note 3 2 4 4" xfId="10315"/>
    <cellStyle name="Note 3 2 4 5" xfId="32300"/>
    <cellStyle name="Note 3 2 5" xfId="8042"/>
    <cellStyle name="Note 3 2 5 2" xfId="8043"/>
    <cellStyle name="Note 3 2 5 2 2" xfId="13323"/>
    <cellStyle name="Note 3 2 5 2 3" xfId="32304"/>
    <cellStyle name="Note 3 2 5 3" xfId="8044"/>
    <cellStyle name="Note 3 2 5 3 2" xfId="17253"/>
    <cellStyle name="Note 3 2 5 3 2 2" xfId="30612"/>
    <cellStyle name="Note 3 2 5 3 3" xfId="32305"/>
    <cellStyle name="Note 3 2 5 4" xfId="11903"/>
    <cellStyle name="Note 3 2 5 4 2" xfId="25618"/>
    <cellStyle name="Note 3 2 5 5" xfId="32303"/>
    <cellStyle name="Note 3 2 6" xfId="8045"/>
    <cellStyle name="Note 3 2 6 2" xfId="8046"/>
    <cellStyle name="Note 3 2 6 2 2" xfId="15757"/>
    <cellStyle name="Note 3 2 6 2 3" xfId="32307"/>
    <cellStyle name="Note 3 2 6 3" xfId="8047"/>
    <cellStyle name="Note 3 2 6 3 2" xfId="16528"/>
    <cellStyle name="Note 3 2 6 3 2 2" xfId="29935"/>
    <cellStyle name="Note 3 2 6 3 3" xfId="32308"/>
    <cellStyle name="Note 3 2 6 4" xfId="13480"/>
    <cellStyle name="Note 3 2 6 4 2" xfId="27029"/>
    <cellStyle name="Note 3 2 6 5" xfId="32306"/>
    <cellStyle name="Note 3 2 7" xfId="8048"/>
    <cellStyle name="Note 3 2 7 2" xfId="14061"/>
    <cellStyle name="Note 3 2 7 2 2" xfId="27610"/>
    <cellStyle name="Note 3 2 7 3" xfId="32309"/>
    <cellStyle name="Note 3 2 8" xfId="8049"/>
    <cellStyle name="Note 3 2 8 2" xfId="15947"/>
    <cellStyle name="Note 3 2 8 2 2" xfId="29354"/>
    <cellStyle name="Note 3 2 8 3" xfId="32310"/>
    <cellStyle name="Note 3 2 9" xfId="10308"/>
    <cellStyle name="Note 3 3" xfId="8050"/>
    <cellStyle name="Note 3 3 2" xfId="8051"/>
    <cellStyle name="Note 3 3 2 2" xfId="8052"/>
    <cellStyle name="Note 3 3 2 2 2" xfId="8053"/>
    <cellStyle name="Note 3 3 2 2 2 2" xfId="11644"/>
    <cellStyle name="Note 3 3 2 2 2 3" xfId="32314"/>
    <cellStyle name="Note 3 3 2 2 3" xfId="8054"/>
    <cellStyle name="Note 3 3 2 2 3 2" xfId="16914"/>
    <cellStyle name="Note 3 3 2 2 3 2 2" xfId="30321"/>
    <cellStyle name="Note 3 3 2 2 3 3" xfId="32315"/>
    <cellStyle name="Note 3 3 2 2 4" xfId="10318"/>
    <cellStyle name="Note 3 3 2 2 5" xfId="32313"/>
    <cellStyle name="Note 3 3 2 3" xfId="8055"/>
    <cellStyle name="Note 3 3 2 3 2" xfId="8056"/>
    <cellStyle name="Note 3 3 2 3 2 2" xfId="13324"/>
    <cellStyle name="Note 3 3 2 3 2 3" xfId="32317"/>
    <cellStyle name="Note 3 3 2 3 3" xfId="12302"/>
    <cellStyle name="Note 3 3 2 3 3 2" xfId="26014"/>
    <cellStyle name="Note 3 3 2 3 4" xfId="32316"/>
    <cellStyle name="Note 3 3 2 4" xfId="8057"/>
    <cellStyle name="Note 3 3 2 4 2" xfId="8058"/>
    <cellStyle name="Note 3 3 2 4 2 2" xfId="15758"/>
    <cellStyle name="Note 3 3 2 4 2 3" xfId="32319"/>
    <cellStyle name="Note 3 3 2 4 3" xfId="13866"/>
    <cellStyle name="Note 3 3 2 4 3 2" xfId="27415"/>
    <cellStyle name="Note 3 3 2 4 4" xfId="32318"/>
    <cellStyle name="Note 3 3 2 5" xfId="8059"/>
    <cellStyle name="Note 3 3 2 5 2" xfId="14447"/>
    <cellStyle name="Note 3 3 2 5 2 2" xfId="27996"/>
    <cellStyle name="Note 3 3 2 5 3" xfId="32320"/>
    <cellStyle name="Note 3 3 2 6" xfId="8060"/>
    <cellStyle name="Note 3 3 2 6 2" xfId="16333"/>
    <cellStyle name="Note 3 3 2 6 2 2" xfId="29740"/>
    <cellStyle name="Note 3 3 2 6 3" xfId="32321"/>
    <cellStyle name="Note 3 3 2 7" xfId="10317"/>
    <cellStyle name="Note 3 3 2 8" xfId="32312"/>
    <cellStyle name="Note 3 3 3" xfId="8061"/>
    <cellStyle name="Note 3 3 3 2" xfId="8062"/>
    <cellStyle name="Note 3 3 3 2 2" xfId="11645"/>
    <cellStyle name="Note 3 3 3 2 3" xfId="32323"/>
    <cellStyle name="Note 3 3 3 3" xfId="8063"/>
    <cellStyle name="Note 3 3 3 3 2" xfId="16625"/>
    <cellStyle name="Note 3 3 3 3 2 2" xfId="30032"/>
    <cellStyle name="Note 3 3 3 3 3" xfId="32324"/>
    <cellStyle name="Note 3 3 3 4" xfId="10319"/>
    <cellStyle name="Note 3 3 3 5" xfId="32322"/>
    <cellStyle name="Note 3 3 4" xfId="8064"/>
    <cellStyle name="Note 3 3 4 2" xfId="8065"/>
    <cellStyle name="Note 3 3 4 2 2" xfId="13325"/>
    <cellStyle name="Note 3 3 4 2 3" xfId="32326"/>
    <cellStyle name="Note 3 3 4 3" xfId="12002"/>
    <cellStyle name="Note 3 3 4 3 2" xfId="25717"/>
    <cellStyle name="Note 3 3 4 4" xfId="32325"/>
    <cellStyle name="Note 3 3 5" xfId="8066"/>
    <cellStyle name="Note 3 3 5 2" xfId="8067"/>
    <cellStyle name="Note 3 3 5 2 2" xfId="15759"/>
    <cellStyle name="Note 3 3 5 2 3" xfId="32328"/>
    <cellStyle name="Note 3 3 5 3" xfId="13577"/>
    <cellStyle name="Note 3 3 5 3 2" xfId="27126"/>
    <cellStyle name="Note 3 3 5 4" xfId="32327"/>
    <cellStyle name="Note 3 3 6" xfId="8068"/>
    <cellStyle name="Note 3 3 6 2" xfId="14158"/>
    <cellStyle name="Note 3 3 6 2 2" xfId="27707"/>
    <cellStyle name="Note 3 3 6 3" xfId="32329"/>
    <cellStyle name="Note 3 3 7" xfId="8069"/>
    <cellStyle name="Note 3 3 7 2" xfId="16044"/>
    <cellStyle name="Note 3 3 7 2 2" xfId="29451"/>
    <cellStyle name="Note 3 3 7 3" xfId="32330"/>
    <cellStyle name="Note 3 3 8" xfId="10316"/>
    <cellStyle name="Note 3 3 9" xfId="32311"/>
    <cellStyle name="Note 3 4" xfId="8070"/>
    <cellStyle name="Note 3 4 2" xfId="8071"/>
    <cellStyle name="Note 3 4 2 2" xfId="8072"/>
    <cellStyle name="Note 3 4 2 2 2" xfId="11646"/>
    <cellStyle name="Note 3 4 2 2 3" xfId="32333"/>
    <cellStyle name="Note 3 4 2 3" xfId="8073"/>
    <cellStyle name="Note 3 4 2 3 2" xfId="16771"/>
    <cellStyle name="Note 3 4 2 3 2 2" xfId="30178"/>
    <cellStyle name="Note 3 4 2 3 3" xfId="32334"/>
    <cellStyle name="Note 3 4 2 4" xfId="10321"/>
    <cellStyle name="Note 3 4 2 5" xfId="32332"/>
    <cellStyle name="Note 3 4 3" xfId="8074"/>
    <cellStyle name="Note 3 4 3 2" xfId="8075"/>
    <cellStyle name="Note 3 4 3 2 2" xfId="13326"/>
    <cellStyle name="Note 3 4 3 2 3" xfId="32336"/>
    <cellStyle name="Note 3 4 3 3" xfId="12159"/>
    <cellStyle name="Note 3 4 3 3 2" xfId="25871"/>
    <cellStyle name="Note 3 4 3 4" xfId="32335"/>
    <cellStyle name="Note 3 4 4" xfId="8076"/>
    <cellStyle name="Note 3 4 4 2" xfId="8077"/>
    <cellStyle name="Note 3 4 4 2 2" xfId="15760"/>
    <cellStyle name="Note 3 4 4 2 3" xfId="32338"/>
    <cellStyle name="Note 3 4 4 3" xfId="13723"/>
    <cellStyle name="Note 3 4 4 3 2" xfId="27272"/>
    <cellStyle name="Note 3 4 4 4" xfId="32337"/>
    <cellStyle name="Note 3 4 5" xfId="8078"/>
    <cellStyle name="Note 3 4 5 2" xfId="14304"/>
    <cellStyle name="Note 3 4 5 2 2" xfId="27853"/>
    <cellStyle name="Note 3 4 5 3" xfId="32339"/>
    <cellStyle name="Note 3 4 6" xfId="8079"/>
    <cellStyle name="Note 3 4 6 2" xfId="16190"/>
    <cellStyle name="Note 3 4 6 2 2" xfId="29597"/>
    <cellStyle name="Note 3 4 6 3" xfId="32340"/>
    <cellStyle name="Note 3 4 7" xfId="10320"/>
    <cellStyle name="Note 3 4 8" xfId="32331"/>
    <cellStyle name="Note 3 5" xfId="8080"/>
    <cellStyle name="Note 3 5 2" xfId="8081"/>
    <cellStyle name="Note 3 5 2 2" xfId="11647"/>
    <cellStyle name="Note 3 5 2 3" xfId="32342"/>
    <cellStyle name="Note 3 5 3" xfId="8082"/>
    <cellStyle name="Note 3 5 3 2" xfId="17118"/>
    <cellStyle name="Note 3 5 3 2 2" xfId="30477"/>
    <cellStyle name="Note 3 5 3 3" xfId="32343"/>
    <cellStyle name="Note 3 5 4" xfId="10322"/>
    <cellStyle name="Note 3 5 5" xfId="32341"/>
    <cellStyle name="Note 3 6" xfId="8083"/>
    <cellStyle name="Note 3 6 2" xfId="8084"/>
    <cellStyle name="Note 3 6 2 2" xfId="13327"/>
    <cellStyle name="Note 3 6 2 3" xfId="32345"/>
    <cellStyle name="Note 3 6 3" xfId="8085"/>
    <cellStyle name="Note 3 6 3 2" xfId="17207"/>
    <cellStyle name="Note 3 6 3 2 2" xfId="30566"/>
    <cellStyle name="Note 3 6 3 3" xfId="32346"/>
    <cellStyle name="Note 3 6 4" xfId="11834"/>
    <cellStyle name="Note 3 6 4 2" xfId="25549"/>
    <cellStyle name="Note 3 6 5" xfId="32344"/>
    <cellStyle name="Note 3 7" xfId="8086"/>
    <cellStyle name="Note 3 7 2" xfId="8087"/>
    <cellStyle name="Note 3 7 2 2" xfId="15761"/>
    <cellStyle name="Note 3 7 2 3" xfId="32348"/>
    <cellStyle name="Note 3 7 3" xfId="8088"/>
    <cellStyle name="Note 3 7 3 2" xfId="16482"/>
    <cellStyle name="Note 3 7 3 2 2" xfId="29889"/>
    <cellStyle name="Note 3 7 3 3" xfId="32349"/>
    <cellStyle name="Note 3 7 4" xfId="13434"/>
    <cellStyle name="Note 3 7 4 2" xfId="26983"/>
    <cellStyle name="Note 3 7 5" xfId="32347"/>
    <cellStyle name="Note 3 8" xfId="8089"/>
    <cellStyle name="Note 3 8 2" xfId="14015"/>
    <cellStyle name="Note 3 8 2 2" xfId="27564"/>
    <cellStyle name="Note 3 8 3" xfId="32350"/>
    <cellStyle name="Note 3 9" xfId="8090"/>
    <cellStyle name="Note 3 9 2" xfId="15901"/>
    <cellStyle name="Note 3 9 2 2" xfId="29308"/>
    <cellStyle name="Note 3 9 3" xfId="32351"/>
    <cellStyle name="Note 4" xfId="17373"/>
    <cellStyle name="Note 4 2" xfId="30689"/>
    <cellStyle name="Note 5" xfId="17294"/>
    <cellStyle name="Note 5 2" xfId="30653"/>
    <cellStyle name="Output" xfId="23" builtinId="21" customBuiltin="1"/>
    <cellStyle name="Output 10" xfId="8091"/>
    <cellStyle name="Output 10 2" xfId="10324"/>
    <cellStyle name="Output 10 3" xfId="32352"/>
    <cellStyle name="Output 11" xfId="8092"/>
    <cellStyle name="Output 11 2" xfId="10325"/>
    <cellStyle name="Output 11 3" xfId="32353"/>
    <cellStyle name="Output 12" xfId="8093"/>
    <cellStyle name="Output 12 2" xfId="8094"/>
    <cellStyle name="Output 12 2 2" xfId="15762"/>
    <cellStyle name="Output 12 2 3" xfId="32355"/>
    <cellStyle name="Output 12 3" xfId="10499"/>
    <cellStyle name="Output 12 4" xfId="32354"/>
    <cellStyle name="Output 13" xfId="8095"/>
    <cellStyle name="Output 13 2" xfId="11648"/>
    <cellStyle name="Output 13 3" xfId="32356"/>
    <cellStyle name="Output 14" xfId="8096"/>
    <cellStyle name="Output 14 2" xfId="10323"/>
    <cellStyle name="Output 14 3" xfId="32357"/>
    <cellStyle name="Output 2" xfId="8097"/>
    <cellStyle name="Output 2 2" xfId="10326"/>
    <cellStyle name="Output 2 3" xfId="32358"/>
    <cellStyle name="Output 2 4" xfId="33053"/>
    <cellStyle name="Output 3" xfId="8098"/>
    <cellStyle name="Output 3 2" xfId="8099"/>
    <cellStyle name="Output 3 2 2" xfId="10328"/>
    <cellStyle name="Output 3 2 3" xfId="32360"/>
    <cellStyle name="Output 3 3" xfId="10327"/>
    <cellStyle name="Output 3 4" xfId="32359"/>
    <cellStyle name="Output 4" xfId="8100"/>
    <cellStyle name="Output 4 2" xfId="8101"/>
    <cellStyle name="Output 4 2 2" xfId="13329"/>
    <cellStyle name="Output 4 2 3" xfId="32362"/>
    <cellStyle name="Output 4 3" xfId="8102"/>
    <cellStyle name="Output 4 3 2" xfId="13328"/>
    <cellStyle name="Output 4 3 3" xfId="32363"/>
    <cellStyle name="Output 4 4" xfId="10329"/>
    <cellStyle name="Output 4 5" xfId="32361"/>
    <cellStyle name="Output 5" xfId="8103"/>
    <cellStyle name="Output 5 2" xfId="8104"/>
    <cellStyle name="Output 5 2 2" xfId="10331"/>
    <cellStyle name="Output 5 2 3" xfId="32365"/>
    <cellStyle name="Output 5 3" xfId="10330"/>
    <cellStyle name="Output 5 4" xfId="32364"/>
    <cellStyle name="Output 6" xfId="8105"/>
    <cellStyle name="Output 6 2" xfId="10332"/>
    <cellStyle name="Output 6 3" xfId="32366"/>
    <cellStyle name="Output 7" xfId="8106"/>
    <cellStyle name="Output 7 2" xfId="10333"/>
    <cellStyle name="Output 7 3" xfId="32367"/>
    <cellStyle name="Output 8" xfId="8107"/>
    <cellStyle name="Output 8 2" xfId="10334"/>
    <cellStyle name="Output 8 3" xfId="32368"/>
    <cellStyle name="Output 9" xfId="8108"/>
    <cellStyle name="Output 9 2" xfId="10335"/>
    <cellStyle name="Output 9 3" xfId="32369"/>
    <cellStyle name="Percent" xfId="9" builtinId="5"/>
    <cellStyle name="Percent 10" xfId="10336"/>
    <cellStyle name="Percent 11" xfId="17374"/>
    <cellStyle name="Percent 11 2" xfId="30690"/>
    <cellStyle name="Percent 12" xfId="8787"/>
    <cellStyle name="Percent 13" xfId="51"/>
    <cellStyle name="Percent 2" xfId="10"/>
    <cellStyle name="Percent 2 10" xfId="8110"/>
    <cellStyle name="Percent 2 10 2" xfId="10338"/>
    <cellStyle name="Percent 2 10 3" xfId="32370"/>
    <cellStyle name="Percent 2 11" xfId="8111"/>
    <cellStyle name="Percent 2 11 2" xfId="8112"/>
    <cellStyle name="Percent 2 11 2 2" xfId="13330"/>
    <cellStyle name="Percent 2 11 2 3" xfId="32372"/>
    <cellStyle name="Percent 2 11 3" xfId="8113"/>
    <cellStyle name="Percent 2 11 3 2" xfId="17054"/>
    <cellStyle name="Percent 2 11 3 2 2" xfId="30453"/>
    <cellStyle name="Percent 2 11 3 3" xfId="32373"/>
    <cellStyle name="Percent 2 11 4" xfId="10339"/>
    <cellStyle name="Percent 2 11 5" xfId="32371"/>
    <cellStyle name="Percent 2 12" xfId="8114"/>
    <cellStyle name="Percent 2 12 2" xfId="8115"/>
    <cellStyle name="Percent 2 12 2 2" xfId="13332"/>
    <cellStyle name="Percent 2 12 2 3" xfId="32375"/>
    <cellStyle name="Percent 2 12 3" xfId="8116"/>
    <cellStyle name="Percent 2 12 3 2" xfId="13331"/>
    <cellStyle name="Percent 2 12 3 2 2" xfId="26922"/>
    <cellStyle name="Percent 2 12 3 3" xfId="32376"/>
    <cellStyle name="Percent 2 12 4" xfId="8117"/>
    <cellStyle name="Percent 2 12 4 2" xfId="17112"/>
    <cellStyle name="Percent 2 12 4 2 2" xfId="30471"/>
    <cellStyle name="Percent 2 12 4 3" xfId="32377"/>
    <cellStyle name="Percent 2 12 5" xfId="10340"/>
    <cellStyle name="Percent 2 12 6" xfId="32374"/>
    <cellStyle name="Percent 2 13" xfId="8118"/>
    <cellStyle name="Percent 2 13 2" xfId="8119"/>
    <cellStyle name="Percent 2 13 2 2" xfId="17201"/>
    <cellStyle name="Percent 2 13 2 2 2" xfId="30560"/>
    <cellStyle name="Percent 2 13 2 3" xfId="32379"/>
    <cellStyle name="Percent 2 13 3" xfId="10341"/>
    <cellStyle name="Percent 2 13 4" xfId="32378"/>
    <cellStyle name="Percent 2 14" xfId="8120"/>
    <cellStyle name="Percent 2 14 2" xfId="8121"/>
    <cellStyle name="Percent 2 14 2 2" xfId="8122"/>
    <cellStyle name="Percent 2 14 2 2 2" xfId="11651"/>
    <cellStyle name="Percent 2 14 2 2 3" xfId="32382"/>
    <cellStyle name="Percent 2 14 2 3" xfId="10343"/>
    <cellStyle name="Percent 2 14 2 4" xfId="32381"/>
    <cellStyle name="Percent 2 14 3" xfId="8123"/>
    <cellStyle name="Percent 2 14 3 2" xfId="11650"/>
    <cellStyle name="Percent 2 14 3 3" xfId="32383"/>
    <cellStyle name="Percent 2 14 4" xfId="8124"/>
    <cellStyle name="Percent 2 14 4 2" xfId="17290"/>
    <cellStyle name="Percent 2 14 4 2 2" xfId="30649"/>
    <cellStyle name="Percent 2 14 4 3" xfId="32384"/>
    <cellStyle name="Percent 2 14 5" xfId="10342"/>
    <cellStyle name="Percent 2 14 6" xfId="32380"/>
    <cellStyle name="Percent 2 15" xfId="8125"/>
    <cellStyle name="Percent 2 15 2" xfId="8126"/>
    <cellStyle name="Percent 2 15 2 2" xfId="11652"/>
    <cellStyle name="Percent 2 15 2 3" xfId="32386"/>
    <cellStyle name="Percent 2 15 3" xfId="8127"/>
    <cellStyle name="Percent 2 15 3 2" xfId="16442"/>
    <cellStyle name="Percent 2 15 3 2 2" xfId="29849"/>
    <cellStyle name="Percent 2 15 3 3" xfId="32387"/>
    <cellStyle name="Percent 2 15 4" xfId="10344"/>
    <cellStyle name="Percent 2 15 5" xfId="32385"/>
    <cellStyle name="Percent 2 16" xfId="8128"/>
    <cellStyle name="Percent 2 16 2" xfId="8129"/>
    <cellStyle name="Percent 2 16 2 2" xfId="11653"/>
    <cellStyle name="Percent 2 16 2 3" xfId="32389"/>
    <cellStyle name="Percent 2 16 3" xfId="10345"/>
    <cellStyle name="Percent 2 16 4" xfId="32388"/>
    <cellStyle name="Percent 2 17" xfId="8130"/>
    <cellStyle name="Percent 2 17 2" xfId="8131"/>
    <cellStyle name="Percent 2 17 2 2" xfId="11654"/>
    <cellStyle name="Percent 2 17 2 3" xfId="32391"/>
    <cellStyle name="Percent 2 17 3" xfId="10346"/>
    <cellStyle name="Percent 2 17 4" xfId="32390"/>
    <cellStyle name="Percent 2 18" xfId="8132"/>
    <cellStyle name="Percent 2 18 2" xfId="8133"/>
    <cellStyle name="Percent 2 18 2 2" xfId="11655"/>
    <cellStyle name="Percent 2 18 2 3" xfId="32393"/>
    <cellStyle name="Percent 2 18 3" xfId="10347"/>
    <cellStyle name="Percent 2 18 4" xfId="32392"/>
    <cellStyle name="Percent 2 19" xfId="8134"/>
    <cellStyle name="Percent 2 19 2" xfId="8135"/>
    <cellStyle name="Percent 2 19 2 2" xfId="11656"/>
    <cellStyle name="Percent 2 19 2 3" xfId="32395"/>
    <cellStyle name="Percent 2 19 3" xfId="10348"/>
    <cellStyle name="Percent 2 19 4" xfId="32394"/>
    <cellStyle name="Percent 2 2" xfId="8136"/>
    <cellStyle name="Percent 2 2 10" xfId="8137"/>
    <cellStyle name="Percent 2 2 10 2" xfId="11657"/>
    <cellStyle name="Percent 2 2 10 3" xfId="32397"/>
    <cellStyle name="Percent 2 2 11" xfId="8138"/>
    <cellStyle name="Percent 2 2 11 2" xfId="8139"/>
    <cellStyle name="Percent 2 2 11 2 2" xfId="13333"/>
    <cellStyle name="Percent 2 2 11 2 2 2" xfId="26923"/>
    <cellStyle name="Percent 2 2 11 2 3" xfId="32399"/>
    <cellStyle name="Percent 2 2 11 3" xfId="8140"/>
    <cellStyle name="Percent 2 2 11 3 2" xfId="15763"/>
    <cellStyle name="Percent 2 2 11 3 3" xfId="32400"/>
    <cellStyle name="Percent 2 2 11 4" xfId="11733"/>
    <cellStyle name="Percent 2 2 11 5" xfId="32398"/>
    <cellStyle name="Percent 2 2 12" xfId="8141"/>
    <cellStyle name="Percent 2 2 12 2" xfId="11863"/>
    <cellStyle name="Percent 2 2 12 2 2" xfId="25578"/>
    <cellStyle name="Percent 2 2 12 3" xfId="32401"/>
    <cellStyle name="Percent 2 2 13" xfId="8142"/>
    <cellStyle name="Percent 2 2 13 2" xfId="13451"/>
    <cellStyle name="Percent 2 2 13 2 2" xfId="27000"/>
    <cellStyle name="Percent 2 2 13 3" xfId="32402"/>
    <cellStyle name="Percent 2 2 14" xfId="8143"/>
    <cellStyle name="Percent 2 2 14 2" xfId="14032"/>
    <cellStyle name="Percent 2 2 14 2 2" xfId="27581"/>
    <cellStyle name="Percent 2 2 14 3" xfId="32403"/>
    <cellStyle name="Percent 2 2 15" xfId="8144"/>
    <cellStyle name="Percent 2 2 15 2" xfId="15918"/>
    <cellStyle name="Percent 2 2 15 2 2" xfId="29325"/>
    <cellStyle name="Percent 2 2 15 3" xfId="32404"/>
    <cellStyle name="Percent 2 2 16" xfId="8145"/>
    <cellStyle name="Percent 2 2 16 2" xfId="10349"/>
    <cellStyle name="Percent 2 2 16 3" xfId="32405"/>
    <cellStyle name="Percent 2 2 17" xfId="8709"/>
    <cellStyle name="Percent 2 2 18" xfId="32396"/>
    <cellStyle name="Percent 2 2 2" xfId="8146"/>
    <cellStyle name="Percent 2 2 2 10" xfId="10350"/>
    <cellStyle name="Percent 2 2 2 11" xfId="32406"/>
    <cellStyle name="Percent 2 2 2 2" xfId="8147"/>
    <cellStyle name="Percent 2 2 2 2 2" xfId="8148"/>
    <cellStyle name="Percent 2 2 2 2 2 2" xfId="8149"/>
    <cellStyle name="Percent 2 2 2 2 2 2 2" xfId="8150"/>
    <cellStyle name="Percent 2 2 2 2 2 2 2 2" xfId="11658"/>
    <cellStyle name="Percent 2 2 2 2 2 2 2 3" xfId="32410"/>
    <cellStyle name="Percent 2 2 2 2 2 2 3" xfId="8151"/>
    <cellStyle name="Percent 2 2 2 2 2 2 3 2" xfId="16977"/>
    <cellStyle name="Percent 2 2 2 2 2 2 3 2 2" xfId="30384"/>
    <cellStyle name="Percent 2 2 2 2 2 2 3 3" xfId="32411"/>
    <cellStyle name="Percent 2 2 2 2 2 2 4" xfId="10353"/>
    <cellStyle name="Percent 2 2 2 2 2 2 5" xfId="32409"/>
    <cellStyle name="Percent 2 2 2 2 2 3" xfId="8152"/>
    <cellStyle name="Percent 2 2 2 2 2 3 2" xfId="8153"/>
    <cellStyle name="Percent 2 2 2 2 2 3 2 2" xfId="13334"/>
    <cellStyle name="Percent 2 2 2 2 2 3 2 3" xfId="32413"/>
    <cellStyle name="Percent 2 2 2 2 2 3 3" xfId="12365"/>
    <cellStyle name="Percent 2 2 2 2 2 3 3 2" xfId="26077"/>
    <cellStyle name="Percent 2 2 2 2 2 3 4" xfId="32412"/>
    <cellStyle name="Percent 2 2 2 2 2 4" xfId="8154"/>
    <cellStyle name="Percent 2 2 2 2 2 4 2" xfId="8155"/>
    <cellStyle name="Percent 2 2 2 2 2 4 2 2" xfId="15764"/>
    <cellStyle name="Percent 2 2 2 2 2 4 2 3" xfId="32415"/>
    <cellStyle name="Percent 2 2 2 2 2 4 3" xfId="13929"/>
    <cellStyle name="Percent 2 2 2 2 2 4 3 2" xfId="27478"/>
    <cellStyle name="Percent 2 2 2 2 2 4 4" xfId="32414"/>
    <cellStyle name="Percent 2 2 2 2 2 5" xfId="8156"/>
    <cellStyle name="Percent 2 2 2 2 2 5 2" xfId="14510"/>
    <cellStyle name="Percent 2 2 2 2 2 5 2 2" xfId="28059"/>
    <cellStyle name="Percent 2 2 2 2 2 5 3" xfId="32416"/>
    <cellStyle name="Percent 2 2 2 2 2 6" xfId="8157"/>
    <cellStyle name="Percent 2 2 2 2 2 6 2" xfId="16396"/>
    <cellStyle name="Percent 2 2 2 2 2 6 2 2" xfId="29803"/>
    <cellStyle name="Percent 2 2 2 2 2 6 3" xfId="32417"/>
    <cellStyle name="Percent 2 2 2 2 2 7" xfId="10352"/>
    <cellStyle name="Percent 2 2 2 2 2 8" xfId="32408"/>
    <cellStyle name="Percent 2 2 2 2 3" xfId="8158"/>
    <cellStyle name="Percent 2 2 2 2 3 2" xfId="8159"/>
    <cellStyle name="Percent 2 2 2 2 3 2 2" xfId="11659"/>
    <cellStyle name="Percent 2 2 2 2 3 2 3" xfId="32419"/>
    <cellStyle name="Percent 2 2 2 2 3 3" xfId="8160"/>
    <cellStyle name="Percent 2 2 2 2 3 3 2" xfId="16688"/>
    <cellStyle name="Percent 2 2 2 2 3 3 2 2" xfId="30095"/>
    <cellStyle name="Percent 2 2 2 2 3 3 3" xfId="32420"/>
    <cellStyle name="Percent 2 2 2 2 3 4" xfId="10354"/>
    <cellStyle name="Percent 2 2 2 2 3 5" xfId="32418"/>
    <cellStyle name="Percent 2 2 2 2 4" xfId="8161"/>
    <cellStyle name="Percent 2 2 2 2 4 2" xfId="8162"/>
    <cellStyle name="Percent 2 2 2 2 4 2 2" xfId="13335"/>
    <cellStyle name="Percent 2 2 2 2 4 2 3" xfId="32422"/>
    <cellStyle name="Percent 2 2 2 2 4 3" xfId="12065"/>
    <cellStyle name="Percent 2 2 2 2 4 3 2" xfId="25780"/>
    <cellStyle name="Percent 2 2 2 2 4 4" xfId="32421"/>
    <cellStyle name="Percent 2 2 2 2 5" xfId="8163"/>
    <cellStyle name="Percent 2 2 2 2 5 2" xfId="8164"/>
    <cellStyle name="Percent 2 2 2 2 5 2 2" xfId="15765"/>
    <cellStyle name="Percent 2 2 2 2 5 2 3" xfId="32424"/>
    <cellStyle name="Percent 2 2 2 2 5 3" xfId="13640"/>
    <cellStyle name="Percent 2 2 2 2 5 3 2" xfId="27189"/>
    <cellStyle name="Percent 2 2 2 2 5 4" xfId="32423"/>
    <cellStyle name="Percent 2 2 2 2 6" xfId="8165"/>
    <cellStyle name="Percent 2 2 2 2 6 2" xfId="14221"/>
    <cellStyle name="Percent 2 2 2 2 6 2 2" xfId="27770"/>
    <cellStyle name="Percent 2 2 2 2 6 3" xfId="32425"/>
    <cellStyle name="Percent 2 2 2 2 7" xfId="8166"/>
    <cellStyle name="Percent 2 2 2 2 7 2" xfId="16107"/>
    <cellStyle name="Percent 2 2 2 2 7 2 2" xfId="29514"/>
    <cellStyle name="Percent 2 2 2 2 7 3" xfId="32426"/>
    <cellStyle name="Percent 2 2 2 2 8" xfId="10351"/>
    <cellStyle name="Percent 2 2 2 2 9" xfId="32407"/>
    <cellStyle name="Percent 2 2 2 3" xfId="8167"/>
    <cellStyle name="Percent 2 2 2 3 2" xfId="8168"/>
    <cellStyle name="Percent 2 2 2 3 2 2" xfId="8169"/>
    <cellStyle name="Percent 2 2 2 3 2 2 2" xfId="11660"/>
    <cellStyle name="Percent 2 2 2 3 2 2 3" xfId="32429"/>
    <cellStyle name="Percent 2 2 2 3 2 3" xfId="8170"/>
    <cellStyle name="Percent 2 2 2 3 2 3 2" xfId="16834"/>
    <cellStyle name="Percent 2 2 2 3 2 3 2 2" xfId="30241"/>
    <cellStyle name="Percent 2 2 2 3 2 3 3" xfId="32430"/>
    <cellStyle name="Percent 2 2 2 3 2 4" xfId="10356"/>
    <cellStyle name="Percent 2 2 2 3 2 5" xfId="32428"/>
    <cellStyle name="Percent 2 2 2 3 3" xfId="8171"/>
    <cellStyle name="Percent 2 2 2 3 3 2" xfId="8172"/>
    <cellStyle name="Percent 2 2 2 3 3 2 2" xfId="13336"/>
    <cellStyle name="Percent 2 2 2 3 3 2 3" xfId="32432"/>
    <cellStyle name="Percent 2 2 2 3 3 3" xfId="12222"/>
    <cellStyle name="Percent 2 2 2 3 3 3 2" xfId="25934"/>
    <cellStyle name="Percent 2 2 2 3 3 4" xfId="32431"/>
    <cellStyle name="Percent 2 2 2 3 4" xfId="8173"/>
    <cellStyle name="Percent 2 2 2 3 4 2" xfId="8174"/>
    <cellStyle name="Percent 2 2 2 3 4 2 2" xfId="15766"/>
    <cellStyle name="Percent 2 2 2 3 4 2 3" xfId="32434"/>
    <cellStyle name="Percent 2 2 2 3 4 3" xfId="13786"/>
    <cellStyle name="Percent 2 2 2 3 4 3 2" xfId="27335"/>
    <cellStyle name="Percent 2 2 2 3 4 4" xfId="32433"/>
    <cellStyle name="Percent 2 2 2 3 5" xfId="8175"/>
    <cellStyle name="Percent 2 2 2 3 5 2" xfId="14367"/>
    <cellStyle name="Percent 2 2 2 3 5 2 2" xfId="27916"/>
    <cellStyle name="Percent 2 2 2 3 5 3" xfId="32435"/>
    <cellStyle name="Percent 2 2 2 3 6" xfId="8176"/>
    <cellStyle name="Percent 2 2 2 3 6 2" xfId="16253"/>
    <cellStyle name="Percent 2 2 2 3 6 2 2" xfId="29660"/>
    <cellStyle name="Percent 2 2 2 3 6 3" xfId="32436"/>
    <cellStyle name="Percent 2 2 2 3 7" xfId="10355"/>
    <cellStyle name="Percent 2 2 2 3 8" xfId="32427"/>
    <cellStyle name="Percent 2 2 2 4" xfId="8177"/>
    <cellStyle name="Percent 2 2 2 4 2" xfId="8178"/>
    <cellStyle name="Percent 2 2 2 4 2 2" xfId="17181"/>
    <cellStyle name="Percent 2 2 2 4 2 2 2" xfId="30540"/>
    <cellStyle name="Percent 2 2 2 4 2 3" xfId="32438"/>
    <cellStyle name="Percent 2 2 2 4 3" xfId="10357"/>
    <cellStyle name="Percent 2 2 2 4 4" xfId="32437"/>
    <cellStyle name="Percent 2 2 2 5" xfId="8179"/>
    <cellStyle name="Percent 2 2 2 5 2" xfId="8180"/>
    <cellStyle name="Percent 2 2 2 5 2 2" xfId="11661"/>
    <cellStyle name="Percent 2 2 2 5 2 3" xfId="32440"/>
    <cellStyle name="Percent 2 2 2 5 3" xfId="8181"/>
    <cellStyle name="Percent 2 2 2 5 3 2" xfId="17270"/>
    <cellStyle name="Percent 2 2 2 5 3 2 2" xfId="30629"/>
    <cellStyle name="Percent 2 2 2 5 3 3" xfId="32441"/>
    <cellStyle name="Percent 2 2 2 5 4" xfId="10358"/>
    <cellStyle name="Percent 2 2 2 5 5" xfId="32439"/>
    <cellStyle name="Percent 2 2 2 6" xfId="8182"/>
    <cellStyle name="Percent 2 2 2 6 2" xfId="8183"/>
    <cellStyle name="Percent 2 2 2 6 2 2" xfId="13337"/>
    <cellStyle name="Percent 2 2 2 6 2 3" xfId="32443"/>
    <cellStyle name="Percent 2 2 2 6 3" xfId="8184"/>
    <cellStyle name="Percent 2 2 2 6 3 2" xfId="16545"/>
    <cellStyle name="Percent 2 2 2 6 3 2 2" xfId="29952"/>
    <cellStyle name="Percent 2 2 2 6 3 3" xfId="32444"/>
    <cellStyle name="Percent 2 2 2 6 4" xfId="11920"/>
    <cellStyle name="Percent 2 2 2 6 4 2" xfId="25635"/>
    <cellStyle name="Percent 2 2 2 6 5" xfId="32442"/>
    <cellStyle name="Percent 2 2 2 7" xfId="8185"/>
    <cellStyle name="Percent 2 2 2 7 2" xfId="8186"/>
    <cellStyle name="Percent 2 2 2 7 2 2" xfId="15767"/>
    <cellStyle name="Percent 2 2 2 7 2 3" xfId="32446"/>
    <cellStyle name="Percent 2 2 2 7 3" xfId="13497"/>
    <cellStyle name="Percent 2 2 2 7 3 2" xfId="27046"/>
    <cellStyle name="Percent 2 2 2 7 4" xfId="32445"/>
    <cellStyle name="Percent 2 2 2 8" xfId="8187"/>
    <cellStyle name="Percent 2 2 2 8 2" xfId="14078"/>
    <cellStyle name="Percent 2 2 2 8 2 2" xfId="27627"/>
    <cellStyle name="Percent 2 2 2 8 3" xfId="32447"/>
    <cellStyle name="Percent 2 2 2 9" xfId="8188"/>
    <cellStyle name="Percent 2 2 2 9 2" xfId="15964"/>
    <cellStyle name="Percent 2 2 2 9 2 2" xfId="29371"/>
    <cellStyle name="Percent 2 2 2 9 3" xfId="32448"/>
    <cellStyle name="Percent 2 2 3" xfId="8189"/>
    <cellStyle name="Percent 2 2 3 2" xfId="8190"/>
    <cellStyle name="Percent 2 2 3 2 2" xfId="8191"/>
    <cellStyle name="Percent 2 2 3 2 2 2" xfId="8192"/>
    <cellStyle name="Percent 2 2 3 2 2 2 2" xfId="11662"/>
    <cellStyle name="Percent 2 2 3 2 2 2 3" xfId="32452"/>
    <cellStyle name="Percent 2 2 3 2 2 3" xfId="8193"/>
    <cellStyle name="Percent 2 2 3 2 2 3 2" xfId="16931"/>
    <cellStyle name="Percent 2 2 3 2 2 3 2 2" xfId="30338"/>
    <cellStyle name="Percent 2 2 3 2 2 3 3" xfId="32453"/>
    <cellStyle name="Percent 2 2 3 2 2 4" xfId="10361"/>
    <cellStyle name="Percent 2 2 3 2 2 5" xfId="32451"/>
    <cellStyle name="Percent 2 2 3 2 3" xfId="8194"/>
    <cellStyle name="Percent 2 2 3 2 3 2" xfId="8195"/>
    <cellStyle name="Percent 2 2 3 2 3 2 2" xfId="13338"/>
    <cellStyle name="Percent 2 2 3 2 3 2 3" xfId="32455"/>
    <cellStyle name="Percent 2 2 3 2 3 3" xfId="12319"/>
    <cellStyle name="Percent 2 2 3 2 3 3 2" xfId="26031"/>
    <cellStyle name="Percent 2 2 3 2 3 4" xfId="32454"/>
    <cellStyle name="Percent 2 2 3 2 4" xfId="8196"/>
    <cellStyle name="Percent 2 2 3 2 4 2" xfId="8197"/>
    <cellStyle name="Percent 2 2 3 2 4 2 2" xfId="15768"/>
    <cellStyle name="Percent 2 2 3 2 4 2 3" xfId="32457"/>
    <cellStyle name="Percent 2 2 3 2 4 3" xfId="13883"/>
    <cellStyle name="Percent 2 2 3 2 4 3 2" xfId="27432"/>
    <cellStyle name="Percent 2 2 3 2 4 4" xfId="32456"/>
    <cellStyle name="Percent 2 2 3 2 5" xfId="8198"/>
    <cellStyle name="Percent 2 2 3 2 5 2" xfId="14464"/>
    <cellStyle name="Percent 2 2 3 2 5 2 2" xfId="28013"/>
    <cellStyle name="Percent 2 2 3 2 5 3" xfId="32458"/>
    <cellStyle name="Percent 2 2 3 2 6" xfId="8199"/>
    <cellStyle name="Percent 2 2 3 2 6 2" xfId="16350"/>
    <cellStyle name="Percent 2 2 3 2 6 2 2" xfId="29757"/>
    <cellStyle name="Percent 2 2 3 2 6 3" xfId="32459"/>
    <cellStyle name="Percent 2 2 3 2 7" xfId="10360"/>
    <cellStyle name="Percent 2 2 3 2 8" xfId="32450"/>
    <cellStyle name="Percent 2 2 3 3" xfId="8200"/>
    <cellStyle name="Percent 2 2 3 3 2" xfId="8201"/>
    <cellStyle name="Percent 2 2 3 3 2 2" xfId="11663"/>
    <cellStyle name="Percent 2 2 3 3 2 3" xfId="32461"/>
    <cellStyle name="Percent 2 2 3 3 3" xfId="8202"/>
    <cellStyle name="Percent 2 2 3 3 3 2" xfId="16642"/>
    <cellStyle name="Percent 2 2 3 3 3 2 2" xfId="30049"/>
    <cellStyle name="Percent 2 2 3 3 3 3" xfId="32462"/>
    <cellStyle name="Percent 2 2 3 3 4" xfId="10362"/>
    <cellStyle name="Percent 2 2 3 3 5" xfId="32460"/>
    <cellStyle name="Percent 2 2 3 4" xfId="8203"/>
    <cellStyle name="Percent 2 2 3 4 2" xfId="8204"/>
    <cellStyle name="Percent 2 2 3 4 2 2" xfId="13339"/>
    <cellStyle name="Percent 2 2 3 4 2 3" xfId="32464"/>
    <cellStyle name="Percent 2 2 3 4 3" xfId="12019"/>
    <cellStyle name="Percent 2 2 3 4 3 2" xfId="25734"/>
    <cellStyle name="Percent 2 2 3 4 4" xfId="32463"/>
    <cellStyle name="Percent 2 2 3 5" xfId="8205"/>
    <cellStyle name="Percent 2 2 3 5 2" xfId="8206"/>
    <cellStyle name="Percent 2 2 3 5 2 2" xfId="15769"/>
    <cellStyle name="Percent 2 2 3 5 2 3" xfId="32466"/>
    <cellStyle name="Percent 2 2 3 5 3" xfId="13594"/>
    <cellStyle name="Percent 2 2 3 5 3 2" xfId="27143"/>
    <cellStyle name="Percent 2 2 3 5 4" xfId="32465"/>
    <cellStyle name="Percent 2 2 3 6" xfId="8207"/>
    <cellStyle name="Percent 2 2 3 6 2" xfId="14175"/>
    <cellStyle name="Percent 2 2 3 6 2 2" xfId="27724"/>
    <cellStyle name="Percent 2 2 3 6 3" xfId="32467"/>
    <cellStyle name="Percent 2 2 3 7" xfId="8208"/>
    <cellStyle name="Percent 2 2 3 7 2" xfId="16061"/>
    <cellStyle name="Percent 2 2 3 7 2 2" xfId="29468"/>
    <cellStyle name="Percent 2 2 3 7 3" xfId="32468"/>
    <cellStyle name="Percent 2 2 3 8" xfId="10359"/>
    <cellStyle name="Percent 2 2 3 9" xfId="32449"/>
    <cellStyle name="Percent 2 2 4" xfId="8209"/>
    <cellStyle name="Percent 2 2 4 2" xfId="8210"/>
    <cellStyle name="Percent 2 2 4 2 2" xfId="8211"/>
    <cellStyle name="Percent 2 2 4 2 2 2" xfId="11665"/>
    <cellStyle name="Percent 2 2 4 2 2 3" xfId="32471"/>
    <cellStyle name="Percent 2 2 4 2 3" xfId="8212"/>
    <cellStyle name="Percent 2 2 4 2 3 2" xfId="16788"/>
    <cellStyle name="Percent 2 2 4 2 3 2 2" xfId="30195"/>
    <cellStyle name="Percent 2 2 4 2 3 3" xfId="32472"/>
    <cellStyle name="Percent 2 2 4 2 4" xfId="10364"/>
    <cellStyle name="Percent 2 2 4 2 5" xfId="32470"/>
    <cellStyle name="Percent 2 2 4 3" xfId="8213"/>
    <cellStyle name="Percent 2 2 4 3 2" xfId="8214"/>
    <cellStyle name="Percent 2 2 4 3 2 2" xfId="13340"/>
    <cellStyle name="Percent 2 2 4 3 2 3" xfId="32474"/>
    <cellStyle name="Percent 2 2 4 3 3" xfId="12176"/>
    <cellStyle name="Percent 2 2 4 3 3 2" xfId="25888"/>
    <cellStyle name="Percent 2 2 4 3 4" xfId="32473"/>
    <cellStyle name="Percent 2 2 4 4" xfId="8215"/>
    <cellStyle name="Percent 2 2 4 4 2" xfId="8216"/>
    <cellStyle name="Percent 2 2 4 4 2 2" xfId="15770"/>
    <cellStyle name="Percent 2 2 4 4 2 3" xfId="32476"/>
    <cellStyle name="Percent 2 2 4 4 3" xfId="13740"/>
    <cellStyle name="Percent 2 2 4 4 3 2" xfId="27289"/>
    <cellStyle name="Percent 2 2 4 4 4" xfId="32475"/>
    <cellStyle name="Percent 2 2 4 5" xfId="8217"/>
    <cellStyle name="Percent 2 2 4 5 2" xfId="14321"/>
    <cellStyle name="Percent 2 2 4 5 2 2" xfId="27870"/>
    <cellStyle name="Percent 2 2 4 5 3" xfId="32477"/>
    <cellStyle name="Percent 2 2 4 6" xfId="8218"/>
    <cellStyle name="Percent 2 2 4 6 2" xfId="16207"/>
    <cellStyle name="Percent 2 2 4 6 2 2" xfId="29614"/>
    <cellStyle name="Percent 2 2 4 6 3" xfId="32478"/>
    <cellStyle name="Percent 2 2 4 7" xfId="10363"/>
    <cellStyle name="Percent 2 2 4 8" xfId="32469"/>
    <cellStyle name="Percent 2 2 5" xfId="8219"/>
    <cellStyle name="Percent 2 2 5 2" xfId="8220"/>
    <cellStyle name="Percent 2 2 5 2 2" xfId="8221"/>
    <cellStyle name="Percent 2 2 5 2 2 2" xfId="11667"/>
    <cellStyle name="Percent 2 2 5 2 2 3" xfId="32481"/>
    <cellStyle name="Percent 2 2 5 2 3" xfId="10366"/>
    <cellStyle name="Percent 2 2 5 2 4" xfId="32480"/>
    <cellStyle name="Percent 2 2 5 3" xfId="8222"/>
    <cellStyle name="Percent 2 2 5 3 2" xfId="11666"/>
    <cellStyle name="Percent 2 2 5 3 3" xfId="32482"/>
    <cellStyle name="Percent 2 2 5 4" xfId="8223"/>
    <cellStyle name="Percent 2 2 5 4 2" xfId="17055"/>
    <cellStyle name="Percent 2 2 5 4 2 2" xfId="30454"/>
    <cellStyle name="Percent 2 2 5 4 3" xfId="32483"/>
    <cellStyle name="Percent 2 2 5 5" xfId="10365"/>
    <cellStyle name="Percent 2 2 5 6" xfId="32479"/>
    <cellStyle name="Percent 2 2 6" xfId="8224"/>
    <cellStyle name="Percent 2 2 6 2" xfId="8225"/>
    <cellStyle name="Percent 2 2 6 2 2" xfId="17135"/>
    <cellStyle name="Percent 2 2 6 2 2 2" xfId="30494"/>
    <cellStyle name="Percent 2 2 6 2 3" xfId="32485"/>
    <cellStyle name="Percent 2 2 6 3" xfId="10367"/>
    <cellStyle name="Percent 2 2 6 4" xfId="32484"/>
    <cellStyle name="Percent 2 2 7" xfId="8226"/>
    <cellStyle name="Percent 2 2 7 2" xfId="8227"/>
    <cellStyle name="Percent 2 2 7 2 2" xfId="11668"/>
    <cellStyle name="Percent 2 2 7 2 3" xfId="32487"/>
    <cellStyle name="Percent 2 2 7 3" xfId="8228"/>
    <cellStyle name="Percent 2 2 7 3 2" xfId="17224"/>
    <cellStyle name="Percent 2 2 7 3 2 2" xfId="30583"/>
    <cellStyle name="Percent 2 2 7 3 3" xfId="32488"/>
    <cellStyle name="Percent 2 2 7 4" xfId="10368"/>
    <cellStyle name="Percent 2 2 7 5" xfId="32486"/>
    <cellStyle name="Percent 2 2 8" xfId="8229"/>
    <cellStyle name="Percent 2 2 8 2" xfId="8230"/>
    <cellStyle name="Percent 2 2 8 2 2" xfId="11669"/>
    <cellStyle name="Percent 2 2 8 2 3" xfId="32490"/>
    <cellStyle name="Percent 2 2 8 3" xfId="8231"/>
    <cellStyle name="Percent 2 2 8 3 2" xfId="16499"/>
    <cellStyle name="Percent 2 2 8 3 2 2" xfId="29906"/>
    <cellStyle name="Percent 2 2 8 3 3" xfId="32491"/>
    <cellStyle name="Percent 2 2 8 4" xfId="10369"/>
    <cellStyle name="Percent 2 2 8 5" xfId="32489"/>
    <cellStyle name="Percent 2 2 9" xfId="8232"/>
    <cellStyle name="Percent 2 2 9 2" xfId="8233"/>
    <cellStyle name="Percent 2 2 9 2 2" xfId="13341"/>
    <cellStyle name="Percent 2 2 9 2 2 2" xfId="26924"/>
    <cellStyle name="Percent 2 2 9 2 3" xfId="32493"/>
    <cellStyle name="Percent 2 2 9 3" xfId="8234"/>
    <cellStyle name="Percent 2 2 9 3 2" xfId="15771"/>
    <cellStyle name="Percent 2 2 9 3 3" xfId="32494"/>
    <cellStyle name="Percent 2 2 9 4" xfId="10544"/>
    <cellStyle name="Percent 2 2 9 4 2" xfId="24486"/>
    <cellStyle name="Percent 2 2 9 5" xfId="32492"/>
    <cellStyle name="Percent 2 20" xfId="8235"/>
    <cellStyle name="Percent 2 20 2" xfId="8236"/>
    <cellStyle name="Percent 2 20 2 2" xfId="11670"/>
    <cellStyle name="Percent 2 20 2 3" xfId="32496"/>
    <cellStyle name="Percent 2 20 3" xfId="10370"/>
    <cellStyle name="Percent 2 20 4" xfId="32495"/>
    <cellStyle name="Percent 2 21" xfId="8237"/>
    <cellStyle name="Percent 2 21 2" xfId="8238"/>
    <cellStyle name="Percent 2 21 2 2" xfId="11726"/>
    <cellStyle name="Percent 2 21 2 2 2" xfId="25446"/>
    <cellStyle name="Percent 2 21 2 3" xfId="32498"/>
    <cellStyle name="Percent 2 21 3" xfId="8239"/>
    <cellStyle name="Percent 2 21 3 2" xfId="13342"/>
    <cellStyle name="Percent 2 21 3 2 2" xfId="26925"/>
    <cellStyle name="Percent 2 21 3 3" xfId="32499"/>
    <cellStyle name="Percent 2 21 4" xfId="8240"/>
    <cellStyle name="Percent 2 21 4 2" xfId="15772"/>
    <cellStyle name="Percent 2 21 4 3" xfId="32500"/>
    <cellStyle name="Percent 2 21 5" xfId="10500"/>
    <cellStyle name="Percent 2 21 5 2" xfId="24450"/>
    <cellStyle name="Percent 2 21 6" xfId="32497"/>
    <cellStyle name="Percent 2 22" xfId="8241"/>
    <cellStyle name="Percent 2 22 2" xfId="8242"/>
    <cellStyle name="Percent 2 22 2 2" xfId="13343"/>
    <cellStyle name="Percent 2 22 2 2 2" xfId="26926"/>
    <cellStyle name="Percent 2 22 2 3" xfId="32502"/>
    <cellStyle name="Percent 2 22 3" xfId="8243"/>
    <cellStyle name="Percent 2 22 3 2" xfId="15773"/>
    <cellStyle name="Percent 2 22 3 3" xfId="32503"/>
    <cellStyle name="Percent 2 22 4" xfId="10527"/>
    <cellStyle name="Percent 2 22 4 2" xfId="24469"/>
    <cellStyle name="Percent 2 22 5" xfId="32501"/>
    <cellStyle name="Percent 2 23" xfId="8244"/>
    <cellStyle name="Percent 2 23 2" xfId="11649"/>
    <cellStyle name="Percent 2 23 3" xfId="32504"/>
    <cellStyle name="Percent 2 24" xfId="8245"/>
    <cellStyle name="Percent 2 24 2" xfId="11791"/>
    <cellStyle name="Percent 2 24 2 2" xfId="25506"/>
    <cellStyle name="Percent 2 24 3" xfId="32505"/>
    <cellStyle name="Percent 2 25" xfId="8246"/>
    <cellStyle name="Percent 2 25 2" xfId="13394"/>
    <cellStyle name="Percent 2 25 2 2" xfId="26943"/>
    <cellStyle name="Percent 2 25 3" xfId="32506"/>
    <cellStyle name="Percent 2 26" xfId="8247"/>
    <cellStyle name="Percent 2 26 2" xfId="13975"/>
    <cellStyle name="Percent 2 26 2 2" xfId="27524"/>
    <cellStyle name="Percent 2 26 3" xfId="32507"/>
    <cellStyle name="Percent 2 27" xfId="8248"/>
    <cellStyle name="Percent 2 27 2" xfId="15844"/>
    <cellStyle name="Percent 2 27 2 2" xfId="29251"/>
    <cellStyle name="Percent 2 27 3" xfId="32508"/>
    <cellStyle name="Percent 2 28" xfId="8249"/>
    <cellStyle name="Percent 2 28 2" xfId="15861"/>
    <cellStyle name="Percent 2 28 2 2" xfId="29268"/>
    <cellStyle name="Percent 2 28 3" xfId="32509"/>
    <cellStyle name="Percent 2 29" xfId="8654"/>
    <cellStyle name="Percent 2 29 2" xfId="10337"/>
    <cellStyle name="Percent 2 3" xfId="8250"/>
    <cellStyle name="Percent 2 3 10" xfId="8251"/>
    <cellStyle name="Percent 2 3 10 2" xfId="17351"/>
    <cellStyle name="Percent 2 3 10 3" xfId="32510"/>
    <cellStyle name="Percent 2 3 11" xfId="8748"/>
    <cellStyle name="Percent 2 3 12" xfId="10371"/>
    <cellStyle name="Percent 2 3 2" xfId="8252"/>
    <cellStyle name="Percent 2 3 2 2" xfId="8253"/>
    <cellStyle name="Percent 2 3 2 2 2" xfId="8254"/>
    <cellStyle name="Percent 2 3 2 2 2 2" xfId="8255"/>
    <cellStyle name="Percent 2 3 2 2 2 2 2" xfId="11671"/>
    <cellStyle name="Percent 2 3 2 2 2 2 3" xfId="32514"/>
    <cellStyle name="Percent 2 3 2 2 2 3" xfId="8256"/>
    <cellStyle name="Percent 2 3 2 2 2 3 2" xfId="16954"/>
    <cellStyle name="Percent 2 3 2 2 2 3 2 2" xfId="30361"/>
    <cellStyle name="Percent 2 3 2 2 2 3 3" xfId="32515"/>
    <cellStyle name="Percent 2 3 2 2 2 4" xfId="10374"/>
    <cellStyle name="Percent 2 3 2 2 2 5" xfId="32513"/>
    <cellStyle name="Percent 2 3 2 2 3" xfId="8257"/>
    <cellStyle name="Percent 2 3 2 2 3 2" xfId="8258"/>
    <cellStyle name="Percent 2 3 2 2 3 2 2" xfId="13344"/>
    <cellStyle name="Percent 2 3 2 2 3 2 3" xfId="32517"/>
    <cellStyle name="Percent 2 3 2 2 3 3" xfId="12342"/>
    <cellStyle name="Percent 2 3 2 2 3 3 2" xfId="26054"/>
    <cellStyle name="Percent 2 3 2 2 3 4" xfId="32516"/>
    <cellStyle name="Percent 2 3 2 2 4" xfId="8259"/>
    <cellStyle name="Percent 2 3 2 2 4 2" xfId="8260"/>
    <cellStyle name="Percent 2 3 2 2 4 2 2" xfId="15774"/>
    <cellStyle name="Percent 2 3 2 2 4 2 3" xfId="32519"/>
    <cellStyle name="Percent 2 3 2 2 4 3" xfId="13906"/>
    <cellStyle name="Percent 2 3 2 2 4 3 2" xfId="27455"/>
    <cellStyle name="Percent 2 3 2 2 4 4" xfId="32518"/>
    <cellStyle name="Percent 2 3 2 2 5" xfId="8261"/>
    <cellStyle name="Percent 2 3 2 2 5 2" xfId="14487"/>
    <cellStyle name="Percent 2 3 2 2 5 2 2" xfId="28036"/>
    <cellStyle name="Percent 2 3 2 2 5 3" xfId="32520"/>
    <cellStyle name="Percent 2 3 2 2 6" xfId="8262"/>
    <cellStyle name="Percent 2 3 2 2 6 2" xfId="16373"/>
    <cellStyle name="Percent 2 3 2 2 6 2 2" xfId="29780"/>
    <cellStyle name="Percent 2 3 2 2 6 3" xfId="32521"/>
    <cellStyle name="Percent 2 3 2 2 7" xfId="10373"/>
    <cellStyle name="Percent 2 3 2 2 8" xfId="32512"/>
    <cellStyle name="Percent 2 3 2 3" xfId="8263"/>
    <cellStyle name="Percent 2 3 2 3 2" xfId="8264"/>
    <cellStyle name="Percent 2 3 2 3 2 2" xfId="11672"/>
    <cellStyle name="Percent 2 3 2 3 2 3" xfId="32523"/>
    <cellStyle name="Percent 2 3 2 3 3" xfId="8265"/>
    <cellStyle name="Percent 2 3 2 3 3 2" xfId="16665"/>
    <cellStyle name="Percent 2 3 2 3 3 2 2" xfId="30072"/>
    <cellStyle name="Percent 2 3 2 3 3 3" xfId="32524"/>
    <cellStyle name="Percent 2 3 2 3 4" xfId="10375"/>
    <cellStyle name="Percent 2 3 2 3 5" xfId="32522"/>
    <cellStyle name="Percent 2 3 2 4" xfId="8266"/>
    <cellStyle name="Percent 2 3 2 4 2" xfId="8267"/>
    <cellStyle name="Percent 2 3 2 4 2 2" xfId="13345"/>
    <cellStyle name="Percent 2 3 2 4 2 3" xfId="32526"/>
    <cellStyle name="Percent 2 3 2 4 3" xfId="12042"/>
    <cellStyle name="Percent 2 3 2 4 3 2" xfId="25757"/>
    <cellStyle name="Percent 2 3 2 4 4" xfId="32525"/>
    <cellStyle name="Percent 2 3 2 5" xfId="8268"/>
    <cellStyle name="Percent 2 3 2 5 2" xfId="8269"/>
    <cellStyle name="Percent 2 3 2 5 2 2" xfId="15775"/>
    <cellStyle name="Percent 2 3 2 5 2 3" xfId="32528"/>
    <cellStyle name="Percent 2 3 2 5 3" xfId="13617"/>
    <cellStyle name="Percent 2 3 2 5 3 2" xfId="27166"/>
    <cellStyle name="Percent 2 3 2 5 4" xfId="32527"/>
    <cellStyle name="Percent 2 3 2 6" xfId="8270"/>
    <cellStyle name="Percent 2 3 2 6 2" xfId="14198"/>
    <cellStyle name="Percent 2 3 2 6 2 2" xfId="27747"/>
    <cellStyle name="Percent 2 3 2 6 3" xfId="32529"/>
    <cellStyle name="Percent 2 3 2 7" xfId="8271"/>
    <cellStyle name="Percent 2 3 2 7 2" xfId="16084"/>
    <cellStyle name="Percent 2 3 2 7 2 2" xfId="29491"/>
    <cellStyle name="Percent 2 3 2 7 3" xfId="32530"/>
    <cellStyle name="Percent 2 3 2 8" xfId="10372"/>
    <cellStyle name="Percent 2 3 2 9" xfId="32511"/>
    <cellStyle name="Percent 2 3 3" xfId="8272"/>
    <cellStyle name="Percent 2 3 3 2" xfId="8273"/>
    <cellStyle name="Percent 2 3 3 2 2" xfId="8274"/>
    <cellStyle name="Percent 2 3 3 2 2 2" xfId="11673"/>
    <cellStyle name="Percent 2 3 3 2 2 3" xfId="32533"/>
    <cellStyle name="Percent 2 3 3 2 3" xfId="8275"/>
    <cellStyle name="Percent 2 3 3 2 3 2" xfId="16811"/>
    <cellStyle name="Percent 2 3 3 2 3 2 2" xfId="30218"/>
    <cellStyle name="Percent 2 3 3 2 3 3" xfId="32534"/>
    <cellStyle name="Percent 2 3 3 2 4" xfId="10377"/>
    <cellStyle name="Percent 2 3 3 2 5" xfId="32532"/>
    <cellStyle name="Percent 2 3 3 3" xfId="8276"/>
    <cellStyle name="Percent 2 3 3 3 2" xfId="8277"/>
    <cellStyle name="Percent 2 3 3 3 2 2" xfId="13346"/>
    <cellStyle name="Percent 2 3 3 3 2 3" xfId="32536"/>
    <cellStyle name="Percent 2 3 3 3 3" xfId="12199"/>
    <cellStyle name="Percent 2 3 3 3 3 2" xfId="25911"/>
    <cellStyle name="Percent 2 3 3 3 4" xfId="32535"/>
    <cellStyle name="Percent 2 3 3 4" xfId="8278"/>
    <cellStyle name="Percent 2 3 3 4 2" xfId="8279"/>
    <cellStyle name="Percent 2 3 3 4 2 2" xfId="15776"/>
    <cellStyle name="Percent 2 3 3 4 2 3" xfId="32538"/>
    <cellStyle name="Percent 2 3 3 4 3" xfId="13763"/>
    <cellStyle name="Percent 2 3 3 4 3 2" xfId="27312"/>
    <cellStyle name="Percent 2 3 3 4 4" xfId="32537"/>
    <cellStyle name="Percent 2 3 3 5" xfId="8280"/>
    <cellStyle name="Percent 2 3 3 5 2" xfId="14344"/>
    <cellStyle name="Percent 2 3 3 5 2 2" xfId="27893"/>
    <cellStyle name="Percent 2 3 3 5 3" xfId="32539"/>
    <cellStyle name="Percent 2 3 3 6" xfId="8281"/>
    <cellStyle name="Percent 2 3 3 6 2" xfId="16230"/>
    <cellStyle name="Percent 2 3 3 6 2 2" xfId="29637"/>
    <cellStyle name="Percent 2 3 3 6 3" xfId="32540"/>
    <cellStyle name="Percent 2 3 3 7" xfId="10376"/>
    <cellStyle name="Percent 2 3 3 8" xfId="32531"/>
    <cellStyle name="Percent 2 3 4" xfId="8282"/>
    <cellStyle name="Percent 2 3 4 2" xfId="8283"/>
    <cellStyle name="Percent 2 3 4 2 2" xfId="13347"/>
    <cellStyle name="Percent 2 3 4 2 3" xfId="32542"/>
    <cellStyle name="Percent 2 3 4 3" xfId="8284"/>
    <cellStyle name="Percent 2 3 4 3 2" xfId="17158"/>
    <cellStyle name="Percent 2 3 4 3 2 2" xfId="30517"/>
    <cellStyle name="Percent 2 3 4 3 3" xfId="32543"/>
    <cellStyle name="Percent 2 3 4 4" xfId="10378"/>
    <cellStyle name="Percent 2 3 4 5" xfId="32541"/>
    <cellStyle name="Percent 2 3 5" xfId="8285"/>
    <cellStyle name="Percent 2 3 5 2" xfId="8286"/>
    <cellStyle name="Percent 2 3 5 2 2" xfId="11674"/>
    <cellStyle name="Percent 2 3 5 2 3" xfId="32545"/>
    <cellStyle name="Percent 2 3 5 3" xfId="8287"/>
    <cellStyle name="Percent 2 3 5 3 2" xfId="17247"/>
    <cellStyle name="Percent 2 3 5 3 2 2" xfId="30606"/>
    <cellStyle name="Percent 2 3 5 3 3" xfId="32546"/>
    <cellStyle name="Percent 2 3 5 4" xfId="10379"/>
    <cellStyle name="Percent 2 3 5 5" xfId="32544"/>
    <cellStyle name="Percent 2 3 6" xfId="8288"/>
    <cellStyle name="Percent 2 3 6 2" xfId="8289"/>
    <cellStyle name="Percent 2 3 6 2 2" xfId="15777"/>
    <cellStyle name="Percent 2 3 6 2 3" xfId="32548"/>
    <cellStyle name="Percent 2 3 6 3" xfId="8290"/>
    <cellStyle name="Percent 2 3 6 3 2" xfId="16522"/>
    <cellStyle name="Percent 2 3 6 3 2 2" xfId="29929"/>
    <cellStyle name="Percent 2 3 6 3 3" xfId="32549"/>
    <cellStyle name="Percent 2 3 6 4" xfId="11897"/>
    <cellStyle name="Percent 2 3 6 4 2" xfId="25612"/>
    <cellStyle name="Percent 2 3 6 5" xfId="32547"/>
    <cellStyle name="Percent 2 3 7" xfId="8291"/>
    <cellStyle name="Percent 2 3 7 2" xfId="13474"/>
    <cellStyle name="Percent 2 3 7 2 2" xfId="27023"/>
    <cellStyle name="Percent 2 3 7 3" xfId="32550"/>
    <cellStyle name="Percent 2 3 8" xfId="8292"/>
    <cellStyle name="Percent 2 3 8 2" xfId="14055"/>
    <cellStyle name="Percent 2 3 8 2 2" xfId="27604"/>
    <cellStyle name="Percent 2 3 8 3" xfId="32551"/>
    <cellStyle name="Percent 2 3 9" xfId="8293"/>
    <cellStyle name="Percent 2 3 9 2" xfId="15941"/>
    <cellStyle name="Percent 2 3 9 2 2" xfId="29348"/>
    <cellStyle name="Percent 2 3 9 3" xfId="32552"/>
    <cellStyle name="Percent 2 30" xfId="33030"/>
    <cellStyle name="Percent 2 31" xfId="8109"/>
    <cellStyle name="Percent 2 4" xfId="8294"/>
    <cellStyle name="Percent 2 4 10" xfId="10380"/>
    <cellStyle name="Percent 2 4 11" xfId="32553"/>
    <cellStyle name="Percent 2 4 2" xfId="8295"/>
    <cellStyle name="Percent 2 4 2 2" xfId="8296"/>
    <cellStyle name="Percent 2 4 2 2 2" xfId="8297"/>
    <cellStyle name="Percent 2 4 2 2 2 2" xfId="8298"/>
    <cellStyle name="Percent 2 4 2 2 2 2 2" xfId="11675"/>
    <cellStyle name="Percent 2 4 2 2 2 2 3" xfId="32557"/>
    <cellStyle name="Percent 2 4 2 2 2 3" xfId="8299"/>
    <cellStyle name="Percent 2 4 2 2 2 3 2" xfId="16908"/>
    <cellStyle name="Percent 2 4 2 2 2 3 2 2" xfId="30315"/>
    <cellStyle name="Percent 2 4 2 2 2 3 3" xfId="32558"/>
    <cellStyle name="Percent 2 4 2 2 2 4" xfId="10383"/>
    <cellStyle name="Percent 2 4 2 2 2 5" xfId="32556"/>
    <cellStyle name="Percent 2 4 2 2 3" xfId="8300"/>
    <cellStyle name="Percent 2 4 2 2 3 2" xfId="8301"/>
    <cellStyle name="Percent 2 4 2 2 3 2 2" xfId="13348"/>
    <cellStyle name="Percent 2 4 2 2 3 2 3" xfId="32560"/>
    <cellStyle name="Percent 2 4 2 2 3 3" xfId="12296"/>
    <cellStyle name="Percent 2 4 2 2 3 3 2" xfId="26008"/>
    <cellStyle name="Percent 2 4 2 2 3 4" xfId="32559"/>
    <cellStyle name="Percent 2 4 2 2 4" xfId="8302"/>
    <cellStyle name="Percent 2 4 2 2 4 2" xfId="8303"/>
    <cellStyle name="Percent 2 4 2 2 4 2 2" xfId="15778"/>
    <cellStyle name="Percent 2 4 2 2 4 2 3" xfId="32562"/>
    <cellStyle name="Percent 2 4 2 2 4 3" xfId="13860"/>
    <cellStyle name="Percent 2 4 2 2 4 3 2" xfId="27409"/>
    <cellStyle name="Percent 2 4 2 2 4 4" xfId="32561"/>
    <cellStyle name="Percent 2 4 2 2 5" xfId="8304"/>
    <cellStyle name="Percent 2 4 2 2 5 2" xfId="14441"/>
    <cellStyle name="Percent 2 4 2 2 5 2 2" xfId="27990"/>
    <cellStyle name="Percent 2 4 2 2 5 3" xfId="32563"/>
    <cellStyle name="Percent 2 4 2 2 6" xfId="8305"/>
    <cellStyle name="Percent 2 4 2 2 6 2" xfId="16327"/>
    <cellStyle name="Percent 2 4 2 2 6 2 2" xfId="29734"/>
    <cellStyle name="Percent 2 4 2 2 6 3" xfId="32564"/>
    <cellStyle name="Percent 2 4 2 2 7" xfId="10382"/>
    <cellStyle name="Percent 2 4 2 2 8" xfId="32555"/>
    <cellStyle name="Percent 2 4 2 3" xfId="8306"/>
    <cellStyle name="Percent 2 4 2 3 2" xfId="8307"/>
    <cellStyle name="Percent 2 4 2 3 2 2" xfId="11676"/>
    <cellStyle name="Percent 2 4 2 3 2 3" xfId="32566"/>
    <cellStyle name="Percent 2 4 2 3 3" xfId="8308"/>
    <cellStyle name="Percent 2 4 2 3 3 2" xfId="16619"/>
    <cellStyle name="Percent 2 4 2 3 3 2 2" xfId="30026"/>
    <cellStyle name="Percent 2 4 2 3 3 3" xfId="32567"/>
    <cellStyle name="Percent 2 4 2 3 4" xfId="10384"/>
    <cellStyle name="Percent 2 4 2 3 5" xfId="32565"/>
    <cellStyle name="Percent 2 4 2 4" xfId="8309"/>
    <cellStyle name="Percent 2 4 2 4 2" xfId="8310"/>
    <cellStyle name="Percent 2 4 2 4 2 2" xfId="13349"/>
    <cellStyle name="Percent 2 4 2 4 2 3" xfId="32569"/>
    <cellStyle name="Percent 2 4 2 4 3" xfId="11996"/>
    <cellStyle name="Percent 2 4 2 4 3 2" xfId="25711"/>
    <cellStyle name="Percent 2 4 2 4 4" xfId="32568"/>
    <cellStyle name="Percent 2 4 2 5" xfId="8311"/>
    <cellStyle name="Percent 2 4 2 5 2" xfId="8312"/>
    <cellStyle name="Percent 2 4 2 5 2 2" xfId="15779"/>
    <cellStyle name="Percent 2 4 2 5 2 3" xfId="32571"/>
    <cellStyle name="Percent 2 4 2 5 3" xfId="13571"/>
    <cellStyle name="Percent 2 4 2 5 3 2" xfId="27120"/>
    <cellStyle name="Percent 2 4 2 5 4" xfId="32570"/>
    <cellStyle name="Percent 2 4 2 6" xfId="8313"/>
    <cellStyle name="Percent 2 4 2 6 2" xfId="14152"/>
    <cellStyle name="Percent 2 4 2 6 2 2" xfId="27701"/>
    <cellStyle name="Percent 2 4 2 6 3" xfId="32572"/>
    <cellStyle name="Percent 2 4 2 7" xfId="8314"/>
    <cellStyle name="Percent 2 4 2 7 2" xfId="16038"/>
    <cellStyle name="Percent 2 4 2 7 2 2" xfId="29445"/>
    <cellStyle name="Percent 2 4 2 7 3" xfId="32573"/>
    <cellStyle name="Percent 2 4 2 8" xfId="10381"/>
    <cellStyle name="Percent 2 4 2 9" xfId="32554"/>
    <cellStyle name="Percent 2 4 3" xfId="8315"/>
    <cellStyle name="Percent 2 4 3 2" xfId="8316"/>
    <cellStyle name="Percent 2 4 3 2 2" xfId="8317"/>
    <cellStyle name="Percent 2 4 3 2 2 2" xfId="11677"/>
    <cellStyle name="Percent 2 4 3 2 2 3" xfId="32576"/>
    <cellStyle name="Percent 2 4 3 2 3" xfId="8318"/>
    <cellStyle name="Percent 2 4 3 2 3 2" xfId="16768"/>
    <cellStyle name="Percent 2 4 3 2 3 2 2" xfId="30175"/>
    <cellStyle name="Percent 2 4 3 2 3 3" xfId="32577"/>
    <cellStyle name="Percent 2 4 3 2 4" xfId="10386"/>
    <cellStyle name="Percent 2 4 3 2 5" xfId="32575"/>
    <cellStyle name="Percent 2 4 3 3" xfId="8319"/>
    <cellStyle name="Percent 2 4 3 3 2" xfId="8320"/>
    <cellStyle name="Percent 2 4 3 3 2 2" xfId="13350"/>
    <cellStyle name="Percent 2 4 3 3 2 3" xfId="32579"/>
    <cellStyle name="Percent 2 4 3 3 3" xfId="12156"/>
    <cellStyle name="Percent 2 4 3 3 3 2" xfId="25868"/>
    <cellStyle name="Percent 2 4 3 3 4" xfId="32578"/>
    <cellStyle name="Percent 2 4 3 4" xfId="8321"/>
    <cellStyle name="Percent 2 4 3 4 2" xfId="8322"/>
    <cellStyle name="Percent 2 4 3 4 2 2" xfId="15780"/>
    <cellStyle name="Percent 2 4 3 4 2 3" xfId="32581"/>
    <cellStyle name="Percent 2 4 3 4 3" xfId="13720"/>
    <cellStyle name="Percent 2 4 3 4 3 2" xfId="27269"/>
    <cellStyle name="Percent 2 4 3 4 4" xfId="32580"/>
    <cellStyle name="Percent 2 4 3 5" xfId="8323"/>
    <cellStyle name="Percent 2 4 3 5 2" xfId="14301"/>
    <cellStyle name="Percent 2 4 3 5 2 2" xfId="27850"/>
    <cellStyle name="Percent 2 4 3 5 3" xfId="32582"/>
    <cellStyle name="Percent 2 4 3 6" xfId="8324"/>
    <cellStyle name="Percent 2 4 3 6 2" xfId="16187"/>
    <cellStyle name="Percent 2 4 3 6 2 2" xfId="29594"/>
    <cellStyle name="Percent 2 4 3 6 3" xfId="32583"/>
    <cellStyle name="Percent 2 4 3 7" xfId="10385"/>
    <cellStyle name="Percent 2 4 3 8" xfId="32574"/>
    <cellStyle name="Percent 2 4 4" xfId="8325"/>
    <cellStyle name="Percent 2 4 4 2" xfId="8326"/>
    <cellStyle name="Percent 2 4 4 2 2" xfId="16476"/>
    <cellStyle name="Percent 2 4 4 2 2 2" xfId="29883"/>
    <cellStyle name="Percent 2 4 4 2 3" xfId="32585"/>
    <cellStyle name="Percent 2 4 4 3" xfId="10387"/>
    <cellStyle name="Percent 2 4 4 4" xfId="32584"/>
    <cellStyle name="Percent 2 4 5" xfId="8327"/>
    <cellStyle name="Percent 2 4 5 2" xfId="8328"/>
    <cellStyle name="Percent 2 4 5 2 2" xfId="11678"/>
    <cellStyle name="Percent 2 4 5 2 3" xfId="32587"/>
    <cellStyle name="Percent 2 4 5 3" xfId="10388"/>
    <cellStyle name="Percent 2 4 5 4" xfId="32586"/>
    <cellStyle name="Percent 2 4 6" xfId="8329"/>
    <cellStyle name="Percent 2 4 6 2" xfId="8330"/>
    <cellStyle name="Percent 2 4 6 2 2" xfId="13351"/>
    <cellStyle name="Percent 2 4 6 2 3" xfId="32589"/>
    <cellStyle name="Percent 2 4 6 3" xfId="11827"/>
    <cellStyle name="Percent 2 4 6 3 2" xfId="25542"/>
    <cellStyle name="Percent 2 4 6 4" xfId="32588"/>
    <cellStyle name="Percent 2 4 7" xfId="8331"/>
    <cellStyle name="Percent 2 4 7 2" xfId="8332"/>
    <cellStyle name="Percent 2 4 7 2 2" xfId="15781"/>
    <cellStyle name="Percent 2 4 7 2 3" xfId="32591"/>
    <cellStyle name="Percent 2 4 7 3" xfId="13428"/>
    <cellStyle name="Percent 2 4 7 3 2" xfId="26977"/>
    <cellStyle name="Percent 2 4 7 4" xfId="32590"/>
    <cellStyle name="Percent 2 4 8" xfId="8333"/>
    <cellStyle name="Percent 2 4 8 2" xfId="14009"/>
    <cellStyle name="Percent 2 4 8 2 2" xfId="27558"/>
    <cellStyle name="Percent 2 4 8 3" xfId="32592"/>
    <cellStyle name="Percent 2 4 9" xfId="8334"/>
    <cellStyle name="Percent 2 4 9 2" xfId="15895"/>
    <cellStyle name="Percent 2 4 9 2 2" xfId="29302"/>
    <cellStyle name="Percent 2 4 9 3" xfId="32593"/>
    <cellStyle name="Percent 2 5" xfId="8335"/>
    <cellStyle name="Percent 2 5 10" xfId="10389"/>
    <cellStyle name="Percent 2 5 11" xfId="32594"/>
    <cellStyle name="Percent 2 5 2" xfId="8336"/>
    <cellStyle name="Percent 2 5 2 2" xfId="8337"/>
    <cellStyle name="Percent 2 5 2 2 2" xfId="8338"/>
    <cellStyle name="Percent 2 5 2 2 2 2" xfId="8339"/>
    <cellStyle name="Percent 2 5 2 2 2 2 2" xfId="11679"/>
    <cellStyle name="Percent 2 5 2 2 2 2 3" xfId="32598"/>
    <cellStyle name="Percent 2 5 2 2 2 3" xfId="8340"/>
    <cellStyle name="Percent 2 5 2 2 2 3 2" xfId="16891"/>
    <cellStyle name="Percent 2 5 2 2 2 3 2 2" xfId="30298"/>
    <cellStyle name="Percent 2 5 2 2 2 3 3" xfId="32599"/>
    <cellStyle name="Percent 2 5 2 2 2 4" xfId="10392"/>
    <cellStyle name="Percent 2 5 2 2 2 5" xfId="32597"/>
    <cellStyle name="Percent 2 5 2 2 3" xfId="8341"/>
    <cellStyle name="Percent 2 5 2 2 3 2" xfId="8342"/>
    <cellStyle name="Percent 2 5 2 2 3 2 2" xfId="13352"/>
    <cellStyle name="Percent 2 5 2 2 3 2 3" xfId="32601"/>
    <cellStyle name="Percent 2 5 2 2 3 3" xfId="12279"/>
    <cellStyle name="Percent 2 5 2 2 3 3 2" xfId="25991"/>
    <cellStyle name="Percent 2 5 2 2 3 4" xfId="32600"/>
    <cellStyle name="Percent 2 5 2 2 4" xfId="8343"/>
    <cellStyle name="Percent 2 5 2 2 4 2" xfId="8344"/>
    <cellStyle name="Percent 2 5 2 2 4 2 2" xfId="15782"/>
    <cellStyle name="Percent 2 5 2 2 4 2 3" xfId="32603"/>
    <cellStyle name="Percent 2 5 2 2 4 3" xfId="13843"/>
    <cellStyle name="Percent 2 5 2 2 4 3 2" xfId="27392"/>
    <cellStyle name="Percent 2 5 2 2 4 4" xfId="32602"/>
    <cellStyle name="Percent 2 5 2 2 5" xfId="8345"/>
    <cellStyle name="Percent 2 5 2 2 5 2" xfId="14424"/>
    <cellStyle name="Percent 2 5 2 2 5 2 2" xfId="27973"/>
    <cellStyle name="Percent 2 5 2 2 5 3" xfId="32604"/>
    <cellStyle name="Percent 2 5 2 2 6" xfId="8346"/>
    <cellStyle name="Percent 2 5 2 2 6 2" xfId="16310"/>
    <cellStyle name="Percent 2 5 2 2 6 2 2" xfId="29717"/>
    <cellStyle name="Percent 2 5 2 2 6 3" xfId="32605"/>
    <cellStyle name="Percent 2 5 2 2 7" xfId="10391"/>
    <cellStyle name="Percent 2 5 2 2 8" xfId="32596"/>
    <cellStyle name="Percent 2 5 2 3" xfId="8347"/>
    <cellStyle name="Percent 2 5 2 3 2" xfId="8348"/>
    <cellStyle name="Percent 2 5 2 3 2 2" xfId="11680"/>
    <cellStyle name="Percent 2 5 2 3 2 3" xfId="32607"/>
    <cellStyle name="Percent 2 5 2 3 3" xfId="8349"/>
    <cellStyle name="Percent 2 5 2 3 3 2" xfId="16602"/>
    <cellStyle name="Percent 2 5 2 3 3 2 2" xfId="30009"/>
    <cellStyle name="Percent 2 5 2 3 3 3" xfId="32608"/>
    <cellStyle name="Percent 2 5 2 3 4" xfId="10393"/>
    <cellStyle name="Percent 2 5 2 3 5" xfId="32606"/>
    <cellStyle name="Percent 2 5 2 4" xfId="8350"/>
    <cellStyle name="Percent 2 5 2 4 2" xfId="8351"/>
    <cellStyle name="Percent 2 5 2 4 2 2" xfId="13353"/>
    <cellStyle name="Percent 2 5 2 4 2 3" xfId="32610"/>
    <cellStyle name="Percent 2 5 2 4 3" xfId="11979"/>
    <cellStyle name="Percent 2 5 2 4 3 2" xfId="25694"/>
    <cellStyle name="Percent 2 5 2 4 4" xfId="32609"/>
    <cellStyle name="Percent 2 5 2 5" xfId="8352"/>
    <cellStyle name="Percent 2 5 2 5 2" xfId="8353"/>
    <cellStyle name="Percent 2 5 2 5 2 2" xfId="15783"/>
    <cellStyle name="Percent 2 5 2 5 2 3" xfId="32612"/>
    <cellStyle name="Percent 2 5 2 5 3" xfId="13554"/>
    <cellStyle name="Percent 2 5 2 5 3 2" xfId="27103"/>
    <cellStyle name="Percent 2 5 2 5 4" xfId="32611"/>
    <cellStyle name="Percent 2 5 2 6" xfId="8354"/>
    <cellStyle name="Percent 2 5 2 6 2" xfId="14135"/>
    <cellStyle name="Percent 2 5 2 6 2 2" xfId="27684"/>
    <cellStyle name="Percent 2 5 2 6 3" xfId="32613"/>
    <cellStyle name="Percent 2 5 2 7" xfId="8355"/>
    <cellStyle name="Percent 2 5 2 7 2" xfId="16021"/>
    <cellStyle name="Percent 2 5 2 7 2 2" xfId="29428"/>
    <cellStyle name="Percent 2 5 2 7 3" xfId="32614"/>
    <cellStyle name="Percent 2 5 2 8" xfId="10390"/>
    <cellStyle name="Percent 2 5 2 9" xfId="32595"/>
    <cellStyle name="Percent 2 5 3" xfId="8356"/>
    <cellStyle name="Percent 2 5 3 2" xfId="8357"/>
    <cellStyle name="Percent 2 5 3 2 2" xfId="8358"/>
    <cellStyle name="Percent 2 5 3 2 2 2" xfId="11681"/>
    <cellStyle name="Percent 2 5 3 2 2 3" xfId="32617"/>
    <cellStyle name="Percent 2 5 3 2 3" xfId="8359"/>
    <cellStyle name="Percent 2 5 3 2 3 2" xfId="16751"/>
    <cellStyle name="Percent 2 5 3 2 3 2 2" xfId="30158"/>
    <cellStyle name="Percent 2 5 3 2 3 3" xfId="32618"/>
    <cellStyle name="Percent 2 5 3 2 4" xfId="10395"/>
    <cellStyle name="Percent 2 5 3 2 5" xfId="32616"/>
    <cellStyle name="Percent 2 5 3 3" xfId="8360"/>
    <cellStyle name="Percent 2 5 3 3 2" xfId="8361"/>
    <cellStyle name="Percent 2 5 3 3 2 2" xfId="13354"/>
    <cellStyle name="Percent 2 5 3 3 2 3" xfId="32620"/>
    <cellStyle name="Percent 2 5 3 3 3" xfId="12139"/>
    <cellStyle name="Percent 2 5 3 3 3 2" xfId="25851"/>
    <cellStyle name="Percent 2 5 3 3 4" xfId="32619"/>
    <cellStyle name="Percent 2 5 3 4" xfId="8362"/>
    <cellStyle name="Percent 2 5 3 4 2" xfId="8363"/>
    <cellStyle name="Percent 2 5 3 4 2 2" xfId="15784"/>
    <cellStyle name="Percent 2 5 3 4 2 3" xfId="32622"/>
    <cellStyle name="Percent 2 5 3 4 3" xfId="13703"/>
    <cellStyle name="Percent 2 5 3 4 3 2" xfId="27252"/>
    <cellStyle name="Percent 2 5 3 4 4" xfId="32621"/>
    <cellStyle name="Percent 2 5 3 5" xfId="8364"/>
    <cellStyle name="Percent 2 5 3 5 2" xfId="14284"/>
    <cellStyle name="Percent 2 5 3 5 2 2" xfId="27833"/>
    <cellStyle name="Percent 2 5 3 5 3" xfId="32623"/>
    <cellStyle name="Percent 2 5 3 6" xfId="8365"/>
    <cellStyle name="Percent 2 5 3 6 2" xfId="16170"/>
    <cellStyle name="Percent 2 5 3 6 2 2" xfId="29577"/>
    <cellStyle name="Percent 2 5 3 6 3" xfId="32624"/>
    <cellStyle name="Percent 2 5 3 7" xfId="10394"/>
    <cellStyle name="Percent 2 5 3 8" xfId="32615"/>
    <cellStyle name="Percent 2 5 4" xfId="8366"/>
    <cellStyle name="Percent 2 5 4 2" xfId="8367"/>
    <cellStyle name="Percent 2 5 4 2 2" xfId="16459"/>
    <cellStyle name="Percent 2 5 4 2 2 2" xfId="29866"/>
    <cellStyle name="Percent 2 5 4 2 3" xfId="32626"/>
    <cellStyle name="Percent 2 5 4 3" xfId="10396"/>
    <cellStyle name="Percent 2 5 4 4" xfId="32625"/>
    <cellStyle name="Percent 2 5 5" xfId="8368"/>
    <cellStyle name="Percent 2 5 5 2" xfId="8369"/>
    <cellStyle name="Percent 2 5 5 2 2" xfId="11682"/>
    <cellStyle name="Percent 2 5 5 2 3" xfId="32628"/>
    <cellStyle name="Percent 2 5 5 3" xfId="10397"/>
    <cellStyle name="Percent 2 5 5 4" xfId="32627"/>
    <cellStyle name="Percent 2 5 6" xfId="8370"/>
    <cellStyle name="Percent 2 5 6 2" xfId="8371"/>
    <cellStyle name="Percent 2 5 6 2 2" xfId="13355"/>
    <cellStyle name="Percent 2 5 6 2 3" xfId="32630"/>
    <cellStyle name="Percent 2 5 6 3" xfId="11810"/>
    <cellStyle name="Percent 2 5 6 3 2" xfId="25525"/>
    <cellStyle name="Percent 2 5 6 4" xfId="32629"/>
    <cellStyle name="Percent 2 5 7" xfId="8372"/>
    <cellStyle name="Percent 2 5 7 2" xfId="8373"/>
    <cellStyle name="Percent 2 5 7 2 2" xfId="15785"/>
    <cellStyle name="Percent 2 5 7 2 3" xfId="32632"/>
    <cellStyle name="Percent 2 5 7 3" xfId="13411"/>
    <cellStyle name="Percent 2 5 7 3 2" xfId="26960"/>
    <cellStyle name="Percent 2 5 7 4" xfId="32631"/>
    <cellStyle name="Percent 2 5 8" xfId="8374"/>
    <cellStyle name="Percent 2 5 8 2" xfId="13992"/>
    <cellStyle name="Percent 2 5 8 2 2" xfId="27541"/>
    <cellStyle name="Percent 2 5 8 3" xfId="32633"/>
    <cellStyle name="Percent 2 5 9" xfId="8375"/>
    <cellStyle name="Percent 2 5 9 2" xfId="15878"/>
    <cellStyle name="Percent 2 5 9 2 2" xfId="29285"/>
    <cellStyle name="Percent 2 5 9 3" xfId="32634"/>
    <cellStyle name="Percent 2 6" xfId="8376"/>
    <cellStyle name="Percent 2 6 10" xfId="10398"/>
    <cellStyle name="Percent 2 6 11" xfId="32635"/>
    <cellStyle name="Percent 2 6 2" xfId="8377"/>
    <cellStyle name="Percent 2 6 2 2" xfId="8378"/>
    <cellStyle name="Percent 2 6 2 2 2" xfId="8379"/>
    <cellStyle name="Percent 2 6 2 2 2 2" xfId="8380"/>
    <cellStyle name="Percent 2 6 2 2 2 2 2" xfId="11683"/>
    <cellStyle name="Percent 2 6 2 2 2 2 3" xfId="32639"/>
    <cellStyle name="Percent 2 6 2 2 2 3" xfId="8381"/>
    <cellStyle name="Percent 2 6 2 2 2 3 2" xfId="16997"/>
    <cellStyle name="Percent 2 6 2 2 2 3 2 2" xfId="30404"/>
    <cellStyle name="Percent 2 6 2 2 2 3 3" xfId="32640"/>
    <cellStyle name="Percent 2 6 2 2 2 4" xfId="10401"/>
    <cellStyle name="Percent 2 6 2 2 2 5" xfId="32638"/>
    <cellStyle name="Percent 2 6 2 2 3" xfId="8382"/>
    <cellStyle name="Percent 2 6 2 2 3 2" xfId="8383"/>
    <cellStyle name="Percent 2 6 2 2 3 2 2" xfId="13356"/>
    <cellStyle name="Percent 2 6 2 2 3 2 3" xfId="32642"/>
    <cellStyle name="Percent 2 6 2 2 3 3" xfId="12385"/>
    <cellStyle name="Percent 2 6 2 2 3 3 2" xfId="26097"/>
    <cellStyle name="Percent 2 6 2 2 3 4" xfId="32641"/>
    <cellStyle name="Percent 2 6 2 2 4" xfId="8384"/>
    <cellStyle name="Percent 2 6 2 2 4 2" xfId="8385"/>
    <cellStyle name="Percent 2 6 2 2 4 2 2" xfId="15786"/>
    <cellStyle name="Percent 2 6 2 2 4 2 3" xfId="32644"/>
    <cellStyle name="Percent 2 6 2 2 4 3" xfId="13949"/>
    <cellStyle name="Percent 2 6 2 2 4 3 2" xfId="27498"/>
    <cellStyle name="Percent 2 6 2 2 4 4" xfId="32643"/>
    <cellStyle name="Percent 2 6 2 2 5" xfId="8386"/>
    <cellStyle name="Percent 2 6 2 2 5 2" xfId="14530"/>
    <cellStyle name="Percent 2 6 2 2 5 2 2" xfId="28079"/>
    <cellStyle name="Percent 2 6 2 2 5 3" xfId="32645"/>
    <cellStyle name="Percent 2 6 2 2 6" xfId="8387"/>
    <cellStyle name="Percent 2 6 2 2 6 2" xfId="16416"/>
    <cellStyle name="Percent 2 6 2 2 6 2 2" xfId="29823"/>
    <cellStyle name="Percent 2 6 2 2 6 3" xfId="32646"/>
    <cellStyle name="Percent 2 6 2 2 7" xfId="10400"/>
    <cellStyle name="Percent 2 6 2 2 8" xfId="32637"/>
    <cellStyle name="Percent 2 6 2 3" xfId="8388"/>
    <cellStyle name="Percent 2 6 2 3 2" xfId="8389"/>
    <cellStyle name="Percent 2 6 2 3 2 2" xfId="11684"/>
    <cellStyle name="Percent 2 6 2 3 2 3" xfId="32648"/>
    <cellStyle name="Percent 2 6 2 3 3" xfId="8390"/>
    <cellStyle name="Percent 2 6 2 3 3 2" xfId="16708"/>
    <cellStyle name="Percent 2 6 2 3 3 2 2" xfId="30115"/>
    <cellStyle name="Percent 2 6 2 3 3 3" xfId="32649"/>
    <cellStyle name="Percent 2 6 2 3 4" xfId="10402"/>
    <cellStyle name="Percent 2 6 2 3 5" xfId="32647"/>
    <cellStyle name="Percent 2 6 2 4" xfId="8391"/>
    <cellStyle name="Percent 2 6 2 4 2" xfId="8392"/>
    <cellStyle name="Percent 2 6 2 4 2 2" xfId="13357"/>
    <cellStyle name="Percent 2 6 2 4 2 3" xfId="32651"/>
    <cellStyle name="Percent 2 6 2 4 3" xfId="12085"/>
    <cellStyle name="Percent 2 6 2 4 3 2" xfId="25800"/>
    <cellStyle name="Percent 2 6 2 4 4" xfId="32650"/>
    <cellStyle name="Percent 2 6 2 5" xfId="8393"/>
    <cellStyle name="Percent 2 6 2 5 2" xfId="8394"/>
    <cellStyle name="Percent 2 6 2 5 2 2" xfId="15787"/>
    <cellStyle name="Percent 2 6 2 5 2 3" xfId="32653"/>
    <cellStyle name="Percent 2 6 2 5 3" xfId="13660"/>
    <cellStyle name="Percent 2 6 2 5 3 2" xfId="27209"/>
    <cellStyle name="Percent 2 6 2 5 4" xfId="32652"/>
    <cellStyle name="Percent 2 6 2 6" xfId="8395"/>
    <cellStyle name="Percent 2 6 2 6 2" xfId="14241"/>
    <cellStyle name="Percent 2 6 2 6 2 2" xfId="27790"/>
    <cellStyle name="Percent 2 6 2 6 3" xfId="32654"/>
    <cellStyle name="Percent 2 6 2 7" xfId="8396"/>
    <cellStyle name="Percent 2 6 2 7 2" xfId="16127"/>
    <cellStyle name="Percent 2 6 2 7 2 2" xfId="29534"/>
    <cellStyle name="Percent 2 6 2 7 3" xfId="32655"/>
    <cellStyle name="Percent 2 6 2 8" xfId="10399"/>
    <cellStyle name="Percent 2 6 2 9" xfId="32636"/>
    <cellStyle name="Percent 2 6 3" xfId="8397"/>
    <cellStyle name="Percent 2 6 3 2" xfId="8398"/>
    <cellStyle name="Percent 2 6 3 2 2" xfId="8399"/>
    <cellStyle name="Percent 2 6 3 2 2 2" xfId="11685"/>
    <cellStyle name="Percent 2 6 3 2 2 3" xfId="32658"/>
    <cellStyle name="Percent 2 6 3 2 3" xfId="8400"/>
    <cellStyle name="Percent 2 6 3 2 3 2" xfId="16854"/>
    <cellStyle name="Percent 2 6 3 2 3 2 2" xfId="30261"/>
    <cellStyle name="Percent 2 6 3 2 3 3" xfId="32659"/>
    <cellStyle name="Percent 2 6 3 2 4" xfId="10404"/>
    <cellStyle name="Percent 2 6 3 2 5" xfId="32657"/>
    <cellStyle name="Percent 2 6 3 3" xfId="8401"/>
    <cellStyle name="Percent 2 6 3 3 2" xfId="8402"/>
    <cellStyle name="Percent 2 6 3 3 2 2" xfId="13358"/>
    <cellStyle name="Percent 2 6 3 3 2 3" xfId="32661"/>
    <cellStyle name="Percent 2 6 3 3 3" xfId="12242"/>
    <cellStyle name="Percent 2 6 3 3 3 2" xfId="25954"/>
    <cellStyle name="Percent 2 6 3 3 4" xfId="32660"/>
    <cellStyle name="Percent 2 6 3 4" xfId="8403"/>
    <cellStyle name="Percent 2 6 3 4 2" xfId="8404"/>
    <cellStyle name="Percent 2 6 3 4 2 2" xfId="15788"/>
    <cellStyle name="Percent 2 6 3 4 2 3" xfId="32663"/>
    <cellStyle name="Percent 2 6 3 4 3" xfId="13806"/>
    <cellStyle name="Percent 2 6 3 4 3 2" xfId="27355"/>
    <cellStyle name="Percent 2 6 3 4 4" xfId="32662"/>
    <cellStyle name="Percent 2 6 3 5" xfId="8405"/>
    <cellStyle name="Percent 2 6 3 5 2" xfId="14387"/>
    <cellStyle name="Percent 2 6 3 5 2 2" xfId="27936"/>
    <cellStyle name="Percent 2 6 3 5 3" xfId="32664"/>
    <cellStyle name="Percent 2 6 3 6" xfId="8406"/>
    <cellStyle name="Percent 2 6 3 6 2" xfId="16273"/>
    <cellStyle name="Percent 2 6 3 6 2 2" xfId="29680"/>
    <cellStyle name="Percent 2 6 3 6 3" xfId="32665"/>
    <cellStyle name="Percent 2 6 3 7" xfId="10403"/>
    <cellStyle name="Percent 2 6 3 8" xfId="32656"/>
    <cellStyle name="Percent 2 6 4" xfId="8407"/>
    <cellStyle name="Percent 2 6 4 2" xfId="8408"/>
    <cellStyle name="Percent 2 6 4 2 2" xfId="16565"/>
    <cellStyle name="Percent 2 6 4 2 2 2" xfId="29972"/>
    <cellStyle name="Percent 2 6 4 2 3" xfId="32667"/>
    <cellStyle name="Percent 2 6 4 3" xfId="10405"/>
    <cellStyle name="Percent 2 6 4 4" xfId="32666"/>
    <cellStyle name="Percent 2 6 5" xfId="8409"/>
    <cellStyle name="Percent 2 6 5 2" xfId="8410"/>
    <cellStyle name="Percent 2 6 5 2 2" xfId="11686"/>
    <cellStyle name="Percent 2 6 5 2 3" xfId="32669"/>
    <cellStyle name="Percent 2 6 5 3" xfId="10406"/>
    <cellStyle name="Percent 2 6 5 4" xfId="32668"/>
    <cellStyle name="Percent 2 6 6" xfId="8411"/>
    <cellStyle name="Percent 2 6 6 2" xfId="8412"/>
    <cellStyle name="Percent 2 6 6 2 2" xfId="13359"/>
    <cellStyle name="Percent 2 6 6 2 3" xfId="32671"/>
    <cellStyle name="Percent 2 6 6 3" xfId="11940"/>
    <cellStyle name="Percent 2 6 6 3 2" xfId="25655"/>
    <cellStyle name="Percent 2 6 6 4" xfId="32670"/>
    <cellStyle name="Percent 2 6 7" xfId="8413"/>
    <cellStyle name="Percent 2 6 7 2" xfId="8414"/>
    <cellStyle name="Percent 2 6 7 2 2" xfId="15789"/>
    <cellStyle name="Percent 2 6 7 2 3" xfId="32673"/>
    <cellStyle name="Percent 2 6 7 3" xfId="13517"/>
    <cellStyle name="Percent 2 6 7 3 2" xfId="27066"/>
    <cellStyle name="Percent 2 6 7 4" xfId="32672"/>
    <cellStyle name="Percent 2 6 8" xfId="8415"/>
    <cellStyle name="Percent 2 6 8 2" xfId="14098"/>
    <cellStyle name="Percent 2 6 8 2 2" xfId="27647"/>
    <cellStyle name="Percent 2 6 8 3" xfId="32674"/>
    <cellStyle name="Percent 2 6 9" xfId="8416"/>
    <cellStyle name="Percent 2 6 9 2" xfId="15984"/>
    <cellStyle name="Percent 2 6 9 2 2" xfId="29391"/>
    <cellStyle name="Percent 2 6 9 3" xfId="32675"/>
    <cellStyle name="Percent 2 7" xfId="8417"/>
    <cellStyle name="Percent 2 7 2" xfId="8418"/>
    <cellStyle name="Percent 2 7 2 2" xfId="8419"/>
    <cellStyle name="Percent 2 7 2 2 2" xfId="8420"/>
    <cellStyle name="Percent 2 7 2 2 2 2" xfId="11687"/>
    <cellStyle name="Percent 2 7 2 2 2 3" xfId="32679"/>
    <cellStyle name="Percent 2 7 2 2 3" xfId="8421"/>
    <cellStyle name="Percent 2 7 2 2 3 2" xfId="16874"/>
    <cellStyle name="Percent 2 7 2 2 3 2 2" xfId="30281"/>
    <cellStyle name="Percent 2 7 2 2 3 3" xfId="32680"/>
    <cellStyle name="Percent 2 7 2 2 4" xfId="10409"/>
    <cellStyle name="Percent 2 7 2 2 5" xfId="32678"/>
    <cellStyle name="Percent 2 7 2 3" xfId="8422"/>
    <cellStyle name="Percent 2 7 2 3 2" xfId="8423"/>
    <cellStyle name="Percent 2 7 2 3 2 2" xfId="13360"/>
    <cellStyle name="Percent 2 7 2 3 2 3" xfId="32682"/>
    <cellStyle name="Percent 2 7 2 3 3" xfId="12262"/>
    <cellStyle name="Percent 2 7 2 3 3 2" xfId="25974"/>
    <cellStyle name="Percent 2 7 2 3 4" xfId="32681"/>
    <cellStyle name="Percent 2 7 2 4" xfId="8424"/>
    <cellStyle name="Percent 2 7 2 4 2" xfId="8425"/>
    <cellStyle name="Percent 2 7 2 4 2 2" xfId="15790"/>
    <cellStyle name="Percent 2 7 2 4 2 3" xfId="32684"/>
    <cellStyle name="Percent 2 7 2 4 3" xfId="13826"/>
    <cellStyle name="Percent 2 7 2 4 3 2" xfId="27375"/>
    <cellStyle name="Percent 2 7 2 4 4" xfId="32683"/>
    <cellStyle name="Percent 2 7 2 5" xfId="8426"/>
    <cellStyle name="Percent 2 7 2 5 2" xfId="14407"/>
    <cellStyle name="Percent 2 7 2 5 2 2" xfId="27956"/>
    <cellStyle name="Percent 2 7 2 5 3" xfId="32685"/>
    <cellStyle name="Percent 2 7 2 6" xfId="8427"/>
    <cellStyle name="Percent 2 7 2 6 2" xfId="16293"/>
    <cellStyle name="Percent 2 7 2 6 2 2" xfId="29700"/>
    <cellStyle name="Percent 2 7 2 6 3" xfId="32686"/>
    <cellStyle name="Percent 2 7 2 7" xfId="10408"/>
    <cellStyle name="Percent 2 7 2 8" xfId="32677"/>
    <cellStyle name="Percent 2 7 3" xfId="8428"/>
    <cellStyle name="Percent 2 7 3 2" xfId="8429"/>
    <cellStyle name="Percent 2 7 3 2 2" xfId="11688"/>
    <cellStyle name="Percent 2 7 3 2 3" xfId="32688"/>
    <cellStyle name="Percent 2 7 3 3" xfId="8430"/>
    <cellStyle name="Percent 2 7 3 3 2" xfId="16585"/>
    <cellStyle name="Percent 2 7 3 3 2 2" xfId="29992"/>
    <cellStyle name="Percent 2 7 3 3 3" xfId="32689"/>
    <cellStyle name="Percent 2 7 3 4" xfId="10410"/>
    <cellStyle name="Percent 2 7 3 5" xfId="32687"/>
    <cellStyle name="Percent 2 7 4" xfId="8431"/>
    <cellStyle name="Percent 2 7 4 2" xfId="8432"/>
    <cellStyle name="Percent 2 7 4 2 2" xfId="13361"/>
    <cellStyle name="Percent 2 7 4 2 3" xfId="32691"/>
    <cellStyle name="Percent 2 7 4 3" xfId="11962"/>
    <cellStyle name="Percent 2 7 4 3 2" xfId="25677"/>
    <cellStyle name="Percent 2 7 4 4" xfId="32690"/>
    <cellStyle name="Percent 2 7 5" xfId="8433"/>
    <cellStyle name="Percent 2 7 5 2" xfId="8434"/>
    <cellStyle name="Percent 2 7 5 2 2" xfId="15791"/>
    <cellStyle name="Percent 2 7 5 2 3" xfId="32693"/>
    <cellStyle name="Percent 2 7 5 3" xfId="13537"/>
    <cellStyle name="Percent 2 7 5 3 2" xfId="27086"/>
    <cellStyle name="Percent 2 7 5 4" xfId="32692"/>
    <cellStyle name="Percent 2 7 6" xfId="8435"/>
    <cellStyle name="Percent 2 7 6 2" xfId="14118"/>
    <cellStyle name="Percent 2 7 6 2 2" xfId="27667"/>
    <cellStyle name="Percent 2 7 6 3" xfId="32694"/>
    <cellStyle name="Percent 2 7 7" xfId="8436"/>
    <cellStyle name="Percent 2 7 7 2" xfId="16004"/>
    <cellStyle name="Percent 2 7 7 2 2" xfId="29411"/>
    <cellStyle name="Percent 2 7 7 3" xfId="32695"/>
    <cellStyle name="Percent 2 7 8" xfId="10407"/>
    <cellStyle name="Percent 2 7 9" xfId="32676"/>
    <cellStyle name="Percent 2 8" xfId="8437"/>
    <cellStyle name="Percent 2 8 2" xfId="8438"/>
    <cellStyle name="Percent 2 8 2 2" xfId="8439"/>
    <cellStyle name="Percent 2 8 2 2 2" xfId="11689"/>
    <cellStyle name="Percent 2 8 2 2 3" xfId="32698"/>
    <cellStyle name="Percent 2 8 2 3" xfId="8440"/>
    <cellStyle name="Percent 2 8 2 3 2" xfId="16731"/>
    <cellStyle name="Percent 2 8 2 3 2 2" xfId="30138"/>
    <cellStyle name="Percent 2 8 2 3 3" xfId="32699"/>
    <cellStyle name="Percent 2 8 2 4" xfId="10412"/>
    <cellStyle name="Percent 2 8 2 5" xfId="32697"/>
    <cellStyle name="Percent 2 8 3" xfId="8441"/>
    <cellStyle name="Percent 2 8 3 2" xfId="8442"/>
    <cellStyle name="Percent 2 8 3 2 2" xfId="13362"/>
    <cellStyle name="Percent 2 8 3 2 3" xfId="32701"/>
    <cellStyle name="Percent 2 8 3 3" xfId="12119"/>
    <cellStyle name="Percent 2 8 3 3 2" xfId="25831"/>
    <cellStyle name="Percent 2 8 3 4" xfId="32700"/>
    <cellStyle name="Percent 2 8 4" xfId="8443"/>
    <cellStyle name="Percent 2 8 4 2" xfId="8444"/>
    <cellStyle name="Percent 2 8 4 2 2" xfId="15792"/>
    <cellStyle name="Percent 2 8 4 2 3" xfId="32703"/>
    <cellStyle name="Percent 2 8 4 3" xfId="13683"/>
    <cellStyle name="Percent 2 8 4 3 2" xfId="27232"/>
    <cellStyle name="Percent 2 8 4 4" xfId="32702"/>
    <cellStyle name="Percent 2 8 5" xfId="8445"/>
    <cellStyle name="Percent 2 8 5 2" xfId="14264"/>
    <cellStyle name="Percent 2 8 5 2 2" xfId="27813"/>
    <cellStyle name="Percent 2 8 5 3" xfId="32704"/>
    <cellStyle name="Percent 2 8 6" xfId="8446"/>
    <cellStyle name="Percent 2 8 6 2" xfId="16150"/>
    <cellStyle name="Percent 2 8 6 2 2" xfId="29557"/>
    <cellStyle name="Percent 2 8 6 3" xfId="32705"/>
    <cellStyle name="Percent 2 8 7" xfId="10411"/>
    <cellStyle name="Percent 2 8 8" xfId="32696"/>
    <cellStyle name="Percent 2 9" xfId="8447"/>
    <cellStyle name="Percent 2 9 2" xfId="8448"/>
    <cellStyle name="Percent 2 9 2 2" xfId="8449"/>
    <cellStyle name="Percent 2 9 2 2 2" xfId="11690"/>
    <cellStyle name="Percent 2 9 2 2 3" xfId="32708"/>
    <cellStyle name="Percent 2 9 2 3" xfId="8450"/>
    <cellStyle name="Percent 2 9 2 3 2" xfId="16736"/>
    <cellStyle name="Percent 2 9 2 3 2 2" xfId="30143"/>
    <cellStyle name="Percent 2 9 2 3 3" xfId="32709"/>
    <cellStyle name="Percent 2 9 2 4" xfId="10414"/>
    <cellStyle name="Percent 2 9 2 5" xfId="32707"/>
    <cellStyle name="Percent 2 9 3" xfId="8451"/>
    <cellStyle name="Percent 2 9 3 2" xfId="8452"/>
    <cellStyle name="Percent 2 9 3 2 2" xfId="13363"/>
    <cellStyle name="Percent 2 9 3 2 3" xfId="32711"/>
    <cellStyle name="Percent 2 9 3 3" xfId="12124"/>
    <cellStyle name="Percent 2 9 3 3 2" xfId="25836"/>
    <cellStyle name="Percent 2 9 3 4" xfId="32710"/>
    <cellStyle name="Percent 2 9 4" xfId="8453"/>
    <cellStyle name="Percent 2 9 4 2" xfId="8454"/>
    <cellStyle name="Percent 2 9 4 2 2" xfId="15793"/>
    <cellStyle name="Percent 2 9 4 2 3" xfId="32713"/>
    <cellStyle name="Percent 2 9 4 3" xfId="13688"/>
    <cellStyle name="Percent 2 9 4 3 2" xfId="27237"/>
    <cellStyle name="Percent 2 9 4 4" xfId="32712"/>
    <cellStyle name="Percent 2 9 5" xfId="8455"/>
    <cellStyle name="Percent 2 9 5 2" xfId="14269"/>
    <cellStyle name="Percent 2 9 5 2 2" xfId="27818"/>
    <cellStyle name="Percent 2 9 5 3" xfId="32714"/>
    <cellStyle name="Percent 2 9 6" xfId="8456"/>
    <cellStyle name="Percent 2 9 6 2" xfId="16155"/>
    <cellStyle name="Percent 2 9 6 2 2" xfId="29562"/>
    <cellStyle name="Percent 2 9 6 3" xfId="32715"/>
    <cellStyle name="Percent 2 9 7" xfId="10413"/>
    <cellStyle name="Percent 2 9 8" xfId="32706"/>
    <cellStyle name="Percent 3" xfId="8457"/>
    <cellStyle name="Percent 3 2" xfId="8458"/>
    <cellStyle name="Percent 3 2 2" xfId="8719"/>
    <cellStyle name="Percent 3 2 3" xfId="32717"/>
    <cellStyle name="Percent 3 2 4" xfId="32914"/>
    <cellStyle name="Percent 3 3" xfId="8459"/>
    <cellStyle name="Percent 3 3 2" xfId="8460"/>
    <cellStyle name="Percent 3 3 2 2" xfId="17352"/>
    <cellStyle name="Percent 3 3 2 3" xfId="32719"/>
    <cellStyle name="Percent 3 3 3" xfId="8749"/>
    <cellStyle name="Percent 3 3 4" xfId="10416"/>
    <cellStyle name="Percent 3 3 5" xfId="32718"/>
    <cellStyle name="Percent 3 4" xfId="8657"/>
    <cellStyle name="Percent 3 4 2" xfId="10415"/>
    <cellStyle name="Percent 3 5" xfId="32716"/>
    <cellStyle name="Percent 3 6" xfId="32913"/>
    <cellStyle name="Percent 3 7" xfId="33096"/>
    <cellStyle name="Percent 4" xfId="8461"/>
    <cellStyle name="Percent 4 2" xfId="8462"/>
    <cellStyle name="Percent 4 2 2" xfId="10418"/>
    <cellStyle name="Percent 4 2 3" xfId="32721"/>
    <cellStyle name="Percent 4 3" xfId="8463"/>
    <cellStyle name="Percent 4 3 2" xfId="13364"/>
    <cellStyle name="Percent 4 3 3" xfId="32722"/>
    <cellStyle name="Percent 4 4" xfId="8464"/>
    <cellStyle name="Percent 4 4 2" xfId="10417"/>
    <cellStyle name="Percent 4 4 3" xfId="32723"/>
    <cellStyle name="Percent 4 5" xfId="8674"/>
    <cellStyle name="Percent 4 6" xfId="32720"/>
    <cellStyle name="Percent 4 7" xfId="32915"/>
    <cellStyle name="Percent 5" xfId="8465"/>
    <cellStyle name="Percent 5 2" xfId="8466"/>
    <cellStyle name="Percent 5 2 2" xfId="17353"/>
    <cellStyle name="Percent 5 2 3" xfId="32725"/>
    <cellStyle name="Percent 5 2 4" xfId="32945"/>
    <cellStyle name="Percent 5 2 5" xfId="33003"/>
    <cellStyle name="Percent 5 3" xfId="8750"/>
    <cellStyle name="Percent 5 4" xfId="32724"/>
    <cellStyle name="Percent 5 5" xfId="32916"/>
    <cellStyle name="Percent 5 6" xfId="32976"/>
    <cellStyle name="Percent 6" xfId="8467"/>
    <cellStyle name="Percent 6 10" xfId="8751"/>
    <cellStyle name="Percent 6 11" xfId="10419"/>
    <cellStyle name="Percent 6 12" xfId="32726"/>
    <cellStyle name="Percent 6 2" xfId="8468"/>
    <cellStyle name="Percent 6 2 2" xfId="8469"/>
    <cellStyle name="Percent 6 2 2 2" xfId="8470"/>
    <cellStyle name="Percent 6 2 2 2 2" xfId="8471"/>
    <cellStyle name="Percent 6 2 2 2 2 2" xfId="11695"/>
    <cellStyle name="Percent 6 2 2 2 2 3" xfId="32730"/>
    <cellStyle name="Percent 6 2 2 2 3" xfId="8472"/>
    <cellStyle name="Percent 6 2 2 2 3 2" xfId="16937"/>
    <cellStyle name="Percent 6 2 2 2 3 2 2" xfId="30344"/>
    <cellStyle name="Percent 6 2 2 2 3 3" xfId="32731"/>
    <cellStyle name="Percent 6 2 2 2 4" xfId="10422"/>
    <cellStyle name="Percent 6 2 2 2 5" xfId="32729"/>
    <cellStyle name="Percent 6 2 2 3" xfId="8473"/>
    <cellStyle name="Percent 6 2 2 3 2" xfId="8474"/>
    <cellStyle name="Percent 6 2 2 3 2 2" xfId="13365"/>
    <cellStyle name="Percent 6 2 2 3 2 3" xfId="32733"/>
    <cellStyle name="Percent 6 2 2 3 3" xfId="12325"/>
    <cellStyle name="Percent 6 2 2 3 3 2" xfId="26037"/>
    <cellStyle name="Percent 6 2 2 3 4" xfId="32732"/>
    <cellStyle name="Percent 6 2 2 4" xfId="8475"/>
    <cellStyle name="Percent 6 2 2 4 2" xfId="8476"/>
    <cellStyle name="Percent 6 2 2 4 2 2" xfId="15794"/>
    <cellStyle name="Percent 6 2 2 4 2 3" xfId="32735"/>
    <cellStyle name="Percent 6 2 2 4 3" xfId="13889"/>
    <cellStyle name="Percent 6 2 2 4 3 2" xfId="27438"/>
    <cellStyle name="Percent 6 2 2 4 4" xfId="32734"/>
    <cellStyle name="Percent 6 2 2 5" xfId="8477"/>
    <cellStyle name="Percent 6 2 2 5 2" xfId="14470"/>
    <cellStyle name="Percent 6 2 2 5 2 2" xfId="28019"/>
    <cellStyle name="Percent 6 2 2 5 3" xfId="32736"/>
    <cellStyle name="Percent 6 2 2 6" xfId="8478"/>
    <cellStyle name="Percent 6 2 2 6 2" xfId="16356"/>
    <cellStyle name="Percent 6 2 2 6 2 2" xfId="29763"/>
    <cellStyle name="Percent 6 2 2 6 3" xfId="32737"/>
    <cellStyle name="Percent 6 2 2 7" xfId="10421"/>
    <cellStyle name="Percent 6 2 2 8" xfId="32728"/>
    <cellStyle name="Percent 6 2 3" xfId="8479"/>
    <cellStyle name="Percent 6 2 3 2" xfId="8480"/>
    <cellStyle name="Percent 6 2 3 2 2" xfId="11696"/>
    <cellStyle name="Percent 6 2 3 2 3" xfId="32739"/>
    <cellStyle name="Percent 6 2 3 3" xfId="8481"/>
    <cellStyle name="Percent 6 2 3 3 2" xfId="16648"/>
    <cellStyle name="Percent 6 2 3 3 2 2" xfId="30055"/>
    <cellStyle name="Percent 6 2 3 3 3" xfId="32740"/>
    <cellStyle name="Percent 6 2 3 4" xfId="10423"/>
    <cellStyle name="Percent 6 2 3 5" xfId="32738"/>
    <cellStyle name="Percent 6 2 4" xfId="8482"/>
    <cellStyle name="Percent 6 2 4 2" xfId="8483"/>
    <cellStyle name="Percent 6 2 4 2 2" xfId="13366"/>
    <cellStyle name="Percent 6 2 4 2 3" xfId="32742"/>
    <cellStyle name="Percent 6 2 4 3" xfId="12025"/>
    <cellStyle name="Percent 6 2 4 3 2" xfId="25740"/>
    <cellStyle name="Percent 6 2 4 4" xfId="32741"/>
    <cellStyle name="Percent 6 2 5" xfId="8484"/>
    <cellStyle name="Percent 6 2 5 2" xfId="8485"/>
    <cellStyle name="Percent 6 2 5 2 2" xfId="15795"/>
    <cellStyle name="Percent 6 2 5 2 3" xfId="32744"/>
    <cellStyle name="Percent 6 2 5 3" xfId="13600"/>
    <cellStyle name="Percent 6 2 5 3 2" xfId="27149"/>
    <cellStyle name="Percent 6 2 5 4" xfId="32743"/>
    <cellStyle name="Percent 6 2 6" xfId="8486"/>
    <cellStyle name="Percent 6 2 6 2" xfId="14181"/>
    <cellStyle name="Percent 6 2 6 2 2" xfId="27730"/>
    <cellStyle name="Percent 6 2 6 3" xfId="32745"/>
    <cellStyle name="Percent 6 2 7" xfId="8487"/>
    <cellStyle name="Percent 6 2 7 2" xfId="16067"/>
    <cellStyle name="Percent 6 2 7 2 2" xfId="29474"/>
    <cellStyle name="Percent 6 2 7 3" xfId="32746"/>
    <cellStyle name="Percent 6 2 8" xfId="10420"/>
    <cellStyle name="Percent 6 2 9" xfId="32727"/>
    <cellStyle name="Percent 6 3" xfId="8488"/>
    <cellStyle name="Percent 6 3 2" xfId="8489"/>
    <cellStyle name="Percent 6 3 2 2" xfId="8490"/>
    <cellStyle name="Percent 6 3 2 2 2" xfId="11697"/>
    <cellStyle name="Percent 6 3 2 2 3" xfId="32749"/>
    <cellStyle name="Percent 6 3 2 3" xfId="8491"/>
    <cellStyle name="Percent 6 3 2 3 2" xfId="16794"/>
    <cellStyle name="Percent 6 3 2 3 2 2" xfId="30201"/>
    <cellStyle name="Percent 6 3 2 3 3" xfId="32750"/>
    <cellStyle name="Percent 6 3 2 4" xfId="10425"/>
    <cellStyle name="Percent 6 3 2 5" xfId="32748"/>
    <cellStyle name="Percent 6 3 3" xfId="8492"/>
    <cellStyle name="Percent 6 3 3 2" xfId="8493"/>
    <cellStyle name="Percent 6 3 3 2 2" xfId="13367"/>
    <cellStyle name="Percent 6 3 3 2 3" xfId="32752"/>
    <cellStyle name="Percent 6 3 3 3" xfId="12182"/>
    <cellStyle name="Percent 6 3 3 3 2" xfId="25894"/>
    <cellStyle name="Percent 6 3 3 4" xfId="32751"/>
    <cellStyle name="Percent 6 3 4" xfId="8494"/>
    <cellStyle name="Percent 6 3 4 2" xfId="8495"/>
    <cellStyle name="Percent 6 3 4 2 2" xfId="15796"/>
    <cellStyle name="Percent 6 3 4 2 3" xfId="32754"/>
    <cellStyle name="Percent 6 3 4 3" xfId="13746"/>
    <cellStyle name="Percent 6 3 4 3 2" xfId="27295"/>
    <cellStyle name="Percent 6 3 4 4" xfId="32753"/>
    <cellStyle name="Percent 6 3 5" xfId="8496"/>
    <cellStyle name="Percent 6 3 5 2" xfId="14327"/>
    <cellStyle name="Percent 6 3 5 2 2" xfId="27876"/>
    <cellStyle name="Percent 6 3 5 3" xfId="32755"/>
    <cellStyle name="Percent 6 3 6" xfId="8497"/>
    <cellStyle name="Percent 6 3 6 2" xfId="16213"/>
    <cellStyle name="Percent 6 3 6 2 2" xfId="29620"/>
    <cellStyle name="Percent 6 3 6 3" xfId="32756"/>
    <cellStyle name="Percent 6 3 7" xfId="10424"/>
    <cellStyle name="Percent 6 3 8" xfId="32747"/>
    <cellStyle name="Percent 6 4" xfId="8498"/>
    <cellStyle name="Percent 6 4 2" xfId="8499"/>
    <cellStyle name="Percent 6 4 2 2" xfId="11698"/>
    <cellStyle name="Percent 6 4 2 3" xfId="32758"/>
    <cellStyle name="Percent 6 4 3" xfId="8500"/>
    <cellStyle name="Percent 6 4 3 2" xfId="17141"/>
    <cellStyle name="Percent 6 4 3 2 2" xfId="30500"/>
    <cellStyle name="Percent 6 4 3 3" xfId="32759"/>
    <cellStyle name="Percent 6 4 4" xfId="10426"/>
    <cellStyle name="Percent 6 4 5" xfId="32757"/>
    <cellStyle name="Percent 6 5" xfId="8501"/>
    <cellStyle name="Percent 6 5 2" xfId="8502"/>
    <cellStyle name="Percent 6 5 2 2" xfId="13368"/>
    <cellStyle name="Percent 6 5 2 3" xfId="32761"/>
    <cellStyle name="Percent 6 5 3" xfId="8503"/>
    <cellStyle name="Percent 6 5 3 2" xfId="17230"/>
    <cellStyle name="Percent 6 5 3 2 2" xfId="30589"/>
    <cellStyle name="Percent 6 5 3 3" xfId="32762"/>
    <cellStyle name="Percent 6 5 4" xfId="11877"/>
    <cellStyle name="Percent 6 5 4 2" xfId="25592"/>
    <cellStyle name="Percent 6 5 5" xfId="32760"/>
    <cellStyle name="Percent 6 6" xfId="8504"/>
    <cellStyle name="Percent 6 6 2" xfId="8505"/>
    <cellStyle name="Percent 6 6 2 2" xfId="15797"/>
    <cellStyle name="Percent 6 6 2 3" xfId="32764"/>
    <cellStyle name="Percent 6 6 3" xfId="8506"/>
    <cellStyle name="Percent 6 6 3 2" xfId="16505"/>
    <cellStyle name="Percent 6 6 3 2 2" xfId="29912"/>
    <cellStyle name="Percent 6 6 3 3" xfId="32765"/>
    <cellStyle name="Percent 6 6 4" xfId="13457"/>
    <cellStyle name="Percent 6 6 4 2" xfId="27006"/>
    <cellStyle name="Percent 6 6 5" xfId="32763"/>
    <cellStyle name="Percent 6 7" xfId="8507"/>
    <cellStyle name="Percent 6 7 2" xfId="14038"/>
    <cellStyle name="Percent 6 7 2 2" xfId="27587"/>
    <cellStyle name="Percent 6 7 3" xfId="32766"/>
    <cellStyle name="Percent 6 8" xfId="8508"/>
    <cellStyle name="Percent 6 8 2" xfId="15924"/>
    <cellStyle name="Percent 6 8 2 2" xfId="29331"/>
    <cellStyle name="Percent 6 8 3" xfId="32767"/>
    <cellStyle name="Percent 6 9" xfId="8509"/>
    <cellStyle name="Percent 6 9 2" xfId="17354"/>
    <cellStyle name="Percent 6 9 3" xfId="32768"/>
    <cellStyle name="Percent 7" xfId="8510"/>
    <cellStyle name="Percent 7 2" xfId="10427"/>
    <cellStyle name="Percent 7 3" xfId="32769"/>
    <cellStyle name="Percent 8" xfId="8511"/>
    <cellStyle name="Percent 8 2" xfId="8512"/>
    <cellStyle name="Percent 8 2 2" xfId="10429"/>
    <cellStyle name="Percent 8 2 3" xfId="32771"/>
    <cellStyle name="Percent 8 3" xfId="8513"/>
    <cellStyle name="Percent 8 3 2" xfId="13369"/>
    <cellStyle name="Percent 8 3 3" xfId="32772"/>
    <cellStyle name="Percent 8 4" xfId="10428"/>
    <cellStyle name="Percent 8 5" xfId="32770"/>
    <cellStyle name="Percent 9" xfId="8514"/>
    <cellStyle name="Percent 9 2" xfId="8515"/>
    <cellStyle name="Percent 9 2 2" xfId="13371"/>
    <cellStyle name="Percent 9 2 3" xfId="32774"/>
    <cellStyle name="Percent 9 3" xfId="8516"/>
    <cellStyle name="Percent 9 3 2" xfId="13370"/>
    <cellStyle name="Percent 9 3 3" xfId="32775"/>
    <cellStyle name="Percent 9 4" xfId="10525"/>
    <cellStyle name="Percent 9 5" xfId="32773"/>
    <cellStyle name="SAPBEXaggData" xfId="8517"/>
    <cellStyle name="SAPBEXaggData 2" xfId="17056"/>
    <cellStyle name="SAPBEXaggData 3" xfId="32776"/>
    <cellStyle name="SAPBEXaggDataEmph" xfId="8518"/>
    <cellStyle name="SAPBEXaggDataEmph 2" xfId="17057"/>
    <cellStyle name="SAPBEXaggDataEmph 3" xfId="32777"/>
    <cellStyle name="SAPBEXaggItem" xfId="8519"/>
    <cellStyle name="SAPBEXaggItem 2" xfId="17058"/>
    <cellStyle name="SAPBEXaggItem 3" xfId="32778"/>
    <cellStyle name="SAPBEXaggItemX" xfId="8520"/>
    <cellStyle name="SAPBEXaggItemX 2" xfId="17059"/>
    <cellStyle name="SAPBEXaggItemX 3" xfId="32779"/>
    <cellStyle name="SAPBEXchaText" xfId="8521"/>
    <cellStyle name="SAPBEXchaText 2" xfId="17060"/>
    <cellStyle name="SAPBEXchaText 3" xfId="32780"/>
    <cellStyle name="SAPBEXexcBad7" xfId="8522"/>
    <cellStyle name="SAPBEXexcBad7 2" xfId="17061"/>
    <cellStyle name="SAPBEXexcBad7 3" xfId="32781"/>
    <cellStyle name="SAPBEXexcBad8" xfId="8523"/>
    <cellStyle name="SAPBEXexcBad8 2" xfId="17062"/>
    <cellStyle name="SAPBEXexcBad8 3" xfId="32782"/>
    <cellStyle name="SAPBEXexcBad9" xfId="8524"/>
    <cellStyle name="SAPBEXexcBad9 2" xfId="17063"/>
    <cellStyle name="SAPBEXexcBad9 3" xfId="32783"/>
    <cellStyle name="SAPBEXexcCritical4" xfId="8525"/>
    <cellStyle name="SAPBEXexcCritical4 2" xfId="17064"/>
    <cellStyle name="SAPBEXexcCritical4 3" xfId="32784"/>
    <cellStyle name="SAPBEXexcCritical5" xfId="8526"/>
    <cellStyle name="SAPBEXexcCritical5 2" xfId="17065"/>
    <cellStyle name="SAPBEXexcCritical5 3" xfId="32785"/>
    <cellStyle name="SAPBEXexcCritical6" xfId="8527"/>
    <cellStyle name="SAPBEXexcCritical6 2" xfId="17066"/>
    <cellStyle name="SAPBEXexcCritical6 3" xfId="32786"/>
    <cellStyle name="SAPBEXexcGood1" xfId="8528"/>
    <cellStyle name="SAPBEXexcGood1 2" xfId="17067"/>
    <cellStyle name="SAPBEXexcGood1 3" xfId="32787"/>
    <cellStyle name="SAPBEXexcGood2" xfId="8529"/>
    <cellStyle name="SAPBEXexcGood2 2" xfId="17068"/>
    <cellStyle name="SAPBEXexcGood2 3" xfId="32788"/>
    <cellStyle name="SAPBEXexcGood3" xfId="8530"/>
    <cellStyle name="SAPBEXexcGood3 2" xfId="17069"/>
    <cellStyle name="SAPBEXexcGood3 3" xfId="32789"/>
    <cellStyle name="SAPBEXfilterDrill" xfId="8531"/>
    <cellStyle name="SAPBEXfilterDrill 2" xfId="17070"/>
    <cellStyle name="SAPBEXfilterDrill 3" xfId="32790"/>
    <cellStyle name="SAPBEXfilterItem" xfId="8532"/>
    <cellStyle name="SAPBEXfilterItem 2" xfId="17071"/>
    <cellStyle name="SAPBEXfilterItem 3" xfId="32791"/>
    <cellStyle name="SAPBEXfilterText" xfId="8533"/>
    <cellStyle name="SAPBEXfilterText 2" xfId="17072"/>
    <cellStyle name="SAPBEXfilterText 3" xfId="32792"/>
    <cellStyle name="SAPBEXformats" xfId="8534"/>
    <cellStyle name="SAPBEXformats 2" xfId="17073"/>
    <cellStyle name="SAPBEXformats 3" xfId="32793"/>
    <cellStyle name="SAPBEXheaderItem" xfId="8535"/>
    <cellStyle name="SAPBEXheaderItem 2" xfId="17074"/>
    <cellStyle name="SAPBEXheaderItem 3" xfId="32794"/>
    <cellStyle name="SAPBEXheaderText" xfId="8536"/>
    <cellStyle name="SAPBEXheaderText 2" xfId="17075"/>
    <cellStyle name="SAPBEXheaderText 3" xfId="32795"/>
    <cellStyle name="SAPBEXHLevel0" xfId="8537"/>
    <cellStyle name="SAPBEXHLevel0 2" xfId="17076"/>
    <cellStyle name="SAPBEXHLevel0 3" xfId="32796"/>
    <cellStyle name="SAPBEXHLevel0X" xfId="8538"/>
    <cellStyle name="SAPBEXHLevel0X 2" xfId="17077"/>
    <cellStyle name="SAPBEXHLevel0X 3" xfId="32797"/>
    <cellStyle name="SAPBEXHLevel1" xfId="8539"/>
    <cellStyle name="SAPBEXHLevel1 2" xfId="17078"/>
    <cellStyle name="SAPBEXHLevel1 3" xfId="32798"/>
    <cellStyle name="SAPBEXHLevel1X" xfId="8540"/>
    <cellStyle name="SAPBEXHLevel1X 2" xfId="17079"/>
    <cellStyle name="SAPBEXHLevel1X 3" xfId="32799"/>
    <cellStyle name="SAPBEXHLevel2" xfId="8541"/>
    <cellStyle name="SAPBEXHLevel2 2" xfId="17080"/>
    <cellStyle name="SAPBEXHLevel2 3" xfId="32800"/>
    <cellStyle name="SAPBEXHLevel2X" xfId="8542"/>
    <cellStyle name="SAPBEXHLevel2X 2" xfId="17081"/>
    <cellStyle name="SAPBEXHLevel2X 3" xfId="32801"/>
    <cellStyle name="SAPBEXHLevel3" xfId="8543"/>
    <cellStyle name="SAPBEXHLevel3 2" xfId="17082"/>
    <cellStyle name="SAPBEXHLevel3 3" xfId="32802"/>
    <cellStyle name="SAPBEXHLevel3X" xfId="8544"/>
    <cellStyle name="SAPBEXHLevel3X 2" xfId="17083"/>
    <cellStyle name="SAPBEXHLevel3X 3" xfId="32803"/>
    <cellStyle name="SAPBEXinputData" xfId="8545"/>
    <cellStyle name="SAPBEXinputData 2" xfId="17084"/>
    <cellStyle name="SAPBEXinputData 3" xfId="32804"/>
    <cellStyle name="SAPBEXresData" xfId="8546"/>
    <cellStyle name="SAPBEXresData 2" xfId="17085"/>
    <cellStyle name="SAPBEXresData 3" xfId="32805"/>
    <cellStyle name="SAPBEXresDataEmph" xfId="8547"/>
    <cellStyle name="SAPBEXresDataEmph 2" xfId="17086"/>
    <cellStyle name="SAPBEXresDataEmph 3" xfId="32806"/>
    <cellStyle name="SAPBEXresItem" xfId="8548"/>
    <cellStyle name="SAPBEXresItem 2" xfId="17087"/>
    <cellStyle name="SAPBEXresItem 3" xfId="32807"/>
    <cellStyle name="SAPBEXresItemX" xfId="8549"/>
    <cellStyle name="SAPBEXresItemX 2" xfId="17088"/>
    <cellStyle name="SAPBEXresItemX 3" xfId="32808"/>
    <cellStyle name="SAPBEXstdData" xfId="8550"/>
    <cellStyle name="SAPBEXstdData 2" xfId="17089"/>
    <cellStyle name="SAPBEXstdData 3" xfId="32809"/>
    <cellStyle name="SAPBEXstdDataEmph" xfId="8551"/>
    <cellStyle name="SAPBEXstdDataEmph 2" xfId="17090"/>
    <cellStyle name="SAPBEXstdDataEmph 3" xfId="32810"/>
    <cellStyle name="SAPBEXstdItem" xfId="8552"/>
    <cellStyle name="SAPBEXstdItem 2" xfId="17091"/>
    <cellStyle name="SAPBEXstdItem 3" xfId="32811"/>
    <cellStyle name="SAPBEXstdItemX" xfId="8553"/>
    <cellStyle name="SAPBEXstdItemX 2" xfId="17092"/>
    <cellStyle name="SAPBEXstdItemX 3" xfId="32812"/>
    <cellStyle name="SAPBEXtitle" xfId="8554"/>
    <cellStyle name="SAPBEXtitle 2" xfId="17093"/>
    <cellStyle name="SAPBEXtitle 3" xfId="32813"/>
    <cellStyle name="SAPBEXundefined" xfId="8555"/>
    <cellStyle name="SAPBEXundefined 2" xfId="17094"/>
    <cellStyle name="SAPBEXundefined 3" xfId="32814"/>
    <cellStyle name="Sheet Title" xfId="8556"/>
    <cellStyle name="Sheet Title 2" xfId="17095"/>
    <cellStyle name="Sheet Title 3" xfId="32815"/>
    <cellStyle name="Style 1" xfId="11"/>
    <cellStyle name="Style 2" xfId="12"/>
    <cellStyle name="TableStyleLight1" xfId="8557"/>
    <cellStyle name="TableStyleLight1 2" xfId="10430"/>
    <cellStyle name="TableStyleLight1 3" xfId="32816"/>
    <cellStyle name="Title" xfId="14" builtinId="15" customBuiltin="1"/>
    <cellStyle name="Title 10" xfId="8558"/>
    <cellStyle name="Title 10 2" xfId="8559"/>
    <cellStyle name="Title 10 2 2" xfId="11701"/>
    <cellStyle name="Title 10 2 3" xfId="32818"/>
    <cellStyle name="Title 10 3" xfId="10432"/>
    <cellStyle name="Title 10 4" xfId="32817"/>
    <cellStyle name="Title 11" xfId="8560"/>
    <cellStyle name="Title 11 2" xfId="8561"/>
    <cellStyle name="Title 11 2 2" xfId="15798"/>
    <cellStyle name="Title 11 2 3" xfId="32820"/>
    <cellStyle name="Title 11 3" xfId="10433"/>
    <cellStyle name="Title 11 4" xfId="32819"/>
    <cellStyle name="Title 12" xfId="8562"/>
    <cellStyle name="Title 12 2" xfId="8563"/>
    <cellStyle name="Title 12 2 2" xfId="15799"/>
    <cellStyle name="Title 12 2 3" xfId="32822"/>
    <cellStyle name="Title 12 3" xfId="10501"/>
    <cellStyle name="Title 12 4" xfId="32821"/>
    <cellStyle name="Title 13" xfId="8564"/>
    <cellStyle name="Title 13 2" xfId="11700"/>
    <cellStyle name="Title 13 3" xfId="32823"/>
    <cellStyle name="Title 14" xfId="8565"/>
    <cellStyle name="Title 14 2" xfId="10431"/>
    <cellStyle name="Title 14 3" xfId="32824"/>
    <cellStyle name="Title 2" xfId="8566"/>
    <cellStyle name="Title 2 2" xfId="8567"/>
    <cellStyle name="Title 2 2 2" xfId="10435"/>
    <cellStyle name="Title 2 2 3" xfId="32826"/>
    <cellStyle name="Title 2 3" xfId="8568"/>
    <cellStyle name="Title 2 3 2" xfId="13372"/>
    <cellStyle name="Title 2 3 3" xfId="32827"/>
    <cellStyle name="Title 2 4" xfId="10434"/>
    <cellStyle name="Title 2 5" xfId="32825"/>
    <cellStyle name="Title 2 6" xfId="33099"/>
    <cellStyle name="Title 3" xfId="8569"/>
    <cellStyle name="Title 3 2" xfId="8570"/>
    <cellStyle name="Title 3 2 2" xfId="10437"/>
    <cellStyle name="Title 3 2 3" xfId="32829"/>
    <cellStyle name="Title 3 3" xfId="8571"/>
    <cellStyle name="Title 3 3 2" xfId="13374"/>
    <cellStyle name="Title 3 3 3" xfId="32830"/>
    <cellStyle name="Title 3 4" xfId="8572"/>
    <cellStyle name="Title 3 4 2" xfId="13373"/>
    <cellStyle name="Title 3 4 3" xfId="32831"/>
    <cellStyle name="Title 3 5" xfId="10436"/>
    <cellStyle name="Title 3 6" xfId="32828"/>
    <cellStyle name="Title 3 7" xfId="33101"/>
    <cellStyle name="Title 4" xfId="8573"/>
    <cellStyle name="Title 4 2" xfId="8574"/>
    <cellStyle name="Title 4 2 2" xfId="8575"/>
    <cellStyle name="Title 4 2 2 2" xfId="11703"/>
    <cellStyle name="Title 4 2 2 3" xfId="32834"/>
    <cellStyle name="Title 4 2 3" xfId="10439"/>
    <cellStyle name="Title 4 2 4" xfId="32833"/>
    <cellStyle name="Title 4 3" xfId="8576"/>
    <cellStyle name="Title 4 3 2" xfId="11702"/>
    <cellStyle name="Title 4 3 3" xfId="32835"/>
    <cellStyle name="Title 4 4" xfId="8577"/>
    <cellStyle name="Title 4 4 2" xfId="13375"/>
    <cellStyle name="Title 4 4 3" xfId="32836"/>
    <cellStyle name="Title 4 5" xfId="8578"/>
    <cellStyle name="Title 4 5 2" xfId="15800"/>
    <cellStyle name="Title 4 5 3" xfId="32837"/>
    <cellStyle name="Title 4 6" xfId="10438"/>
    <cellStyle name="Title 4 7" xfId="32832"/>
    <cellStyle name="Title 5" xfId="8579"/>
    <cellStyle name="Title 5 2" xfId="8580"/>
    <cellStyle name="Title 5 2 2" xfId="8581"/>
    <cellStyle name="Title 5 2 2 2" xfId="11705"/>
    <cellStyle name="Title 5 2 2 3" xfId="32840"/>
    <cellStyle name="Title 5 2 3" xfId="10441"/>
    <cellStyle name="Title 5 2 4" xfId="32839"/>
    <cellStyle name="Title 5 3" xfId="8582"/>
    <cellStyle name="Title 5 3 2" xfId="11704"/>
    <cellStyle name="Title 5 3 3" xfId="32841"/>
    <cellStyle name="Title 5 4" xfId="10440"/>
    <cellStyle name="Title 5 5" xfId="32838"/>
    <cellStyle name="Title 6" xfId="8583"/>
    <cellStyle name="Title 6 2" xfId="8584"/>
    <cellStyle name="Title 6 2 2" xfId="11706"/>
    <cellStyle name="Title 6 2 3" xfId="32843"/>
    <cellStyle name="Title 6 3" xfId="10442"/>
    <cellStyle name="Title 6 4" xfId="32842"/>
    <cellStyle name="Title 7" xfId="8585"/>
    <cellStyle name="Title 7 2" xfId="8586"/>
    <cellStyle name="Title 7 2 2" xfId="11707"/>
    <cellStyle name="Title 7 2 3" xfId="32845"/>
    <cellStyle name="Title 7 3" xfId="10443"/>
    <cellStyle name="Title 7 4" xfId="32844"/>
    <cellStyle name="Title 8" xfId="8587"/>
    <cellStyle name="Title 8 2" xfId="8588"/>
    <cellStyle name="Title 8 2 2" xfId="11708"/>
    <cellStyle name="Title 8 2 3" xfId="32847"/>
    <cellStyle name="Title 8 3" xfId="10444"/>
    <cellStyle name="Title 8 4" xfId="32846"/>
    <cellStyle name="Title 9" xfId="8589"/>
    <cellStyle name="Title 9 2" xfId="8590"/>
    <cellStyle name="Title 9 2 2" xfId="11709"/>
    <cellStyle name="Title 9 2 3" xfId="32849"/>
    <cellStyle name="Title 9 3" xfId="10445"/>
    <cellStyle name="Title 9 4" xfId="32848"/>
    <cellStyle name="Total" xfId="26" builtinId="25" customBuiltin="1"/>
    <cellStyle name="Total 10" xfId="8591"/>
    <cellStyle name="Total 10 2" xfId="8752"/>
    <cellStyle name="Total 10 3" xfId="32850"/>
    <cellStyle name="Total 11" xfId="8592"/>
    <cellStyle name="Total 11 2" xfId="8753"/>
    <cellStyle name="Total 11 3" xfId="32851"/>
    <cellStyle name="Total 12" xfId="8593"/>
    <cellStyle name="Total 12 2" xfId="8754"/>
    <cellStyle name="Total 12 3" xfId="32852"/>
    <cellStyle name="Total 13" xfId="8594"/>
    <cellStyle name="Total 13 2" xfId="8755"/>
    <cellStyle name="Total 13 3" xfId="32853"/>
    <cellStyle name="Total 14" xfId="8595"/>
    <cellStyle name="Total 14 2" xfId="8756"/>
    <cellStyle name="Total 14 3" xfId="32854"/>
    <cellStyle name="Total 15" xfId="8596"/>
    <cellStyle name="Total 15 2" xfId="8757"/>
    <cellStyle name="Total 15 3" xfId="32855"/>
    <cellStyle name="Total 16" xfId="8597"/>
    <cellStyle name="Total 16 2" xfId="8758"/>
    <cellStyle name="Total 16 3" xfId="32856"/>
    <cellStyle name="Total 17" xfId="8598"/>
    <cellStyle name="Total 17 2" xfId="8759"/>
    <cellStyle name="Total 17 3" xfId="32857"/>
    <cellStyle name="Total 18" xfId="8599"/>
    <cellStyle name="Total 18 2" xfId="8760"/>
    <cellStyle name="Total 18 3" xfId="32858"/>
    <cellStyle name="Total 19" xfId="8600"/>
    <cellStyle name="Total 19 2" xfId="8761"/>
    <cellStyle name="Total 19 3" xfId="32859"/>
    <cellStyle name="Total 2" xfId="8601"/>
    <cellStyle name="Total 2 10" xfId="8602"/>
    <cellStyle name="Total 2 10 2" xfId="8603"/>
    <cellStyle name="Total 2 10 2 2" xfId="17355"/>
    <cellStyle name="Total 2 10 2 3" xfId="32862"/>
    <cellStyle name="Total 2 10 3" xfId="8762"/>
    <cellStyle name="Total 2 10 4" xfId="10446"/>
    <cellStyle name="Total 2 10 5" xfId="32861"/>
    <cellStyle name="Total 2 11" xfId="8604"/>
    <cellStyle name="Total 2 11 2" xfId="8605"/>
    <cellStyle name="Total 2 11 2 2" xfId="17356"/>
    <cellStyle name="Total 2 11 2 3" xfId="32864"/>
    <cellStyle name="Total 2 11 3" xfId="8763"/>
    <cellStyle name="Total 2 11 4" xfId="10447"/>
    <cellStyle name="Total 2 11 5" xfId="32863"/>
    <cellStyle name="Total 2 12" xfId="8606"/>
    <cellStyle name="Total 2 12 2" xfId="8607"/>
    <cellStyle name="Total 2 12 2 2" xfId="17357"/>
    <cellStyle name="Total 2 12 2 3" xfId="32866"/>
    <cellStyle name="Total 2 12 3" xfId="8764"/>
    <cellStyle name="Total 2 12 4" xfId="10448"/>
    <cellStyle name="Total 2 12 5" xfId="32865"/>
    <cellStyle name="Total 2 13" xfId="8608"/>
    <cellStyle name="Total 2 13 2" xfId="8609"/>
    <cellStyle name="Total 2 13 2 2" xfId="17358"/>
    <cellStyle name="Total 2 13 2 3" xfId="32868"/>
    <cellStyle name="Total 2 13 3" xfId="8765"/>
    <cellStyle name="Total 2 13 4" xfId="10449"/>
    <cellStyle name="Total 2 13 5" xfId="32867"/>
    <cellStyle name="Total 2 14" xfId="8610"/>
    <cellStyle name="Total 2 14 2" xfId="8611"/>
    <cellStyle name="Total 2 14 2 2" xfId="15801"/>
    <cellStyle name="Total 2 14 2 3" xfId="32870"/>
    <cellStyle name="Total 2 14 3" xfId="8612"/>
    <cellStyle name="Total 2 14 3 2" xfId="17367"/>
    <cellStyle name="Total 2 14 3 3" xfId="32871"/>
    <cellStyle name="Total 2 14 4" xfId="8766"/>
    <cellStyle name="Total 2 14 5" xfId="10502"/>
    <cellStyle name="Total 2 14 6" xfId="32869"/>
    <cellStyle name="Total 2 15" xfId="8613"/>
    <cellStyle name="Total 2 15 2" xfId="8767"/>
    <cellStyle name="Total 2 15 3" xfId="32872"/>
    <cellStyle name="Total 2 16" xfId="8614"/>
    <cellStyle name="Total 2 16 2" xfId="8768"/>
    <cellStyle name="Total 2 16 3" xfId="32873"/>
    <cellStyle name="Total 2 17" xfId="8615"/>
    <cellStyle name="Total 2 17 2" xfId="8769"/>
    <cellStyle name="Total 2 17 3" xfId="32874"/>
    <cellStyle name="Total 2 18" xfId="8616"/>
    <cellStyle name="Total 2 18 2" xfId="8770"/>
    <cellStyle name="Total 2 18 3" xfId="32875"/>
    <cellStyle name="Total 2 19" xfId="8700"/>
    <cellStyle name="Total 2 2" xfId="8617"/>
    <cellStyle name="Total 2 2 2" xfId="8618"/>
    <cellStyle name="Total 2 2 2 2" xfId="10451"/>
    <cellStyle name="Total 2 2 2 3" xfId="32877"/>
    <cellStyle name="Total 2 2 3" xfId="8619"/>
    <cellStyle name="Total 2 2 3 2" xfId="8620"/>
    <cellStyle name="Total 2 2 3 2 2" xfId="15802"/>
    <cellStyle name="Total 2 2 3 2 3" xfId="32879"/>
    <cellStyle name="Total 2 2 3 3" xfId="11734"/>
    <cellStyle name="Total 2 2 3 4" xfId="32878"/>
    <cellStyle name="Total 2 2 4" xfId="8621"/>
    <cellStyle name="Total 2 2 4 2" xfId="12102"/>
    <cellStyle name="Total 2 2 4 3" xfId="32880"/>
    <cellStyle name="Total 2 2 5" xfId="8622"/>
    <cellStyle name="Total 2 2 5 2" xfId="17359"/>
    <cellStyle name="Total 2 2 5 3" xfId="32881"/>
    <cellStyle name="Total 2 2 6" xfId="8771"/>
    <cellStyle name="Total 2 2 7" xfId="10450"/>
    <cellStyle name="Total 2 2 8" xfId="32876"/>
    <cellStyle name="Total 2 20" xfId="32860"/>
    <cellStyle name="Total 2 21" xfId="33060"/>
    <cellStyle name="Total 2 3" xfId="8623"/>
    <cellStyle name="Total 2 3 2" xfId="8624"/>
    <cellStyle name="Total 2 3 2 2" xfId="10453"/>
    <cellStyle name="Total 2 3 2 3" xfId="32883"/>
    <cellStyle name="Total 2 3 3" xfId="8625"/>
    <cellStyle name="Total 2 3 3 2" xfId="17360"/>
    <cellStyle name="Total 2 3 3 3" xfId="32884"/>
    <cellStyle name="Total 2 3 4" xfId="8772"/>
    <cellStyle name="Total 2 3 5" xfId="10452"/>
    <cellStyle name="Total 2 3 6" xfId="32882"/>
    <cellStyle name="Total 2 4" xfId="8626"/>
    <cellStyle name="Total 2 4 2" xfId="8627"/>
    <cellStyle name="Total 2 4 2 2" xfId="10455"/>
    <cellStyle name="Total 2 4 2 3" xfId="32886"/>
    <cellStyle name="Total 2 4 3" xfId="8628"/>
    <cellStyle name="Total 2 4 3 2" xfId="17361"/>
    <cellStyle name="Total 2 4 3 3" xfId="32887"/>
    <cellStyle name="Total 2 4 4" xfId="8773"/>
    <cellStyle name="Total 2 4 5" xfId="10454"/>
    <cellStyle name="Total 2 4 6" xfId="32885"/>
    <cellStyle name="Total 2 5" xfId="8629"/>
    <cellStyle name="Total 2 5 2" xfId="8630"/>
    <cellStyle name="Total 2 5 2 2" xfId="13377"/>
    <cellStyle name="Total 2 5 2 3" xfId="32889"/>
    <cellStyle name="Total 2 5 3" xfId="8631"/>
    <cellStyle name="Total 2 5 3 2" xfId="13376"/>
    <cellStyle name="Total 2 5 3 3" xfId="32890"/>
    <cellStyle name="Total 2 5 4" xfId="8632"/>
    <cellStyle name="Total 2 5 4 2" xfId="17362"/>
    <cellStyle name="Total 2 5 4 3" xfId="32891"/>
    <cellStyle name="Total 2 5 5" xfId="8774"/>
    <cellStyle name="Total 2 5 6" xfId="10456"/>
    <cellStyle name="Total 2 5 7" xfId="32888"/>
    <cellStyle name="Total 2 6" xfId="8633"/>
    <cellStyle name="Total 2 6 2" xfId="8634"/>
    <cellStyle name="Total 2 6 2 2" xfId="17363"/>
    <cellStyle name="Total 2 6 2 3" xfId="32893"/>
    <cellStyle name="Total 2 6 3" xfId="8775"/>
    <cellStyle name="Total 2 6 4" xfId="10457"/>
    <cellStyle name="Total 2 6 5" xfId="32892"/>
    <cellStyle name="Total 2 7" xfId="8635"/>
    <cellStyle name="Total 2 7 2" xfId="8636"/>
    <cellStyle name="Total 2 7 2 2" xfId="10459"/>
    <cellStyle name="Total 2 7 2 3" xfId="32895"/>
    <cellStyle name="Total 2 7 3" xfId="8637"/>
    <cellStyle name="Total 2 7 3 2" xfId="17364"/>
    <cellStyle name="Total 2 7 3 3" xfId="32896"/>
    <cellStyle name="Total 2 7 4" xfId="8776"/>
    <cellStyle name="Total 2 7 5" xfId="10458"/>
    <cellStyle name="Total 2 7 6" xfId="32894"/>
    <cellStyle name="Total 2 8" xfId="8638"/>
    <cellStyle name="Total 2 8 2" xfId="8639"/>
    <cellStyle name="Total 2 8 2 2" xfId="17365"/>
    <cellStyle name="Total 2 8 2 3" xfId="32898"/>
    <cellStyle name="Total 2 8 3" xfId="8777"/>
    <cellStyle name="Total 2 8 4" xfId="10460"/>
    <cellStyle name="Total 2 8 5" xfId="32897"/>
    <cellStyle name="Total 2 9" xfId="8640"/>
    <cellStyle name="Total 2 9 2" xfId="8641"/>
    <cellStyle name="Total 2 9 2 2" xfId="17366"/>
    <cellStyle name="Total 2 9 2 3" xfId="32900"/>
    <cellStyle name="Total 2 9 3" xfId="8778"/>
    <cellStyle name="Total 2 9 4" xfId="10461"/>
    <cellStyle name="Total 2 9 5" xfId="32899"/>
    <cellStyle name="Total 20" xfId="8642"/>
    <cellStyle name="Total 20 2" xfId="8779"/>
    <cellStyle name="Total 20 3" xfId="32901"/>
    <cellStyle name="Total 3" xfId="8643"/>
    <cellStyle name="Total 3 2" xfId="8675"/>
    <cellStyle name="Total 3 3" xfId="32902"/>
    <cellStyle name="Total 3 4" xfId="33092"/>
    <cellStyle name="Total 4" xfId="8644"/>
    <cellStyle name="Total 4 2" xfId="8780"/>
    <cellStyle name="Total 4 3" xfId="32903"/>
    <cellStyle name="Total 5" xfId="8645"/>
    <cellStyle name="Total 5 2" xfId="8781"/>
    <cellStyle name="Total 5 3" xfId="32904"/>
    <cellStyle name="Total 6" xfId="8646"/>
    <cellStyle name="Total 6 2" xfId="8782"/>
    <cellStyle name="Total 6 3" xfId="32905"/>
    <cellStyle name="Total 7" xfId="8647"/>
    <cellStyle name="Total 7 2" xfId="8783"/>
    <cellStyle name="Total 7 3" xfId="32906"/>
    <cellStyle name="Total 8" xfId="8648"/>
    <cellStyle name="Total 8 2" xfId="8784"/>
    <cellStyle name="Total 8 3" xfId="32907"/>
    <cellStyle name="Total 9" xfId="8649"/>
    <cellStyle name="Total 9 2" xfId="8785"/>
    <cellStyle name="Total 9 3" xfId="32908"/>
    <cellStyle name="Warning Text" xfId="33034" builtinId="11" customBuiltin="1"/>
    <cellStyle name="Warning Text 2" xfId="8814"/>
    <cellStyle name="Warning Text 2 2" xfId="33057"/>
    <cellStyle name="Warning Text 3" xfId="32909"/>
    <cellStyle name="Warning Text 4" xfId="8650"/>
  </cellStyles>
  <dxfs count="94">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rgb="FFF0F0F0"/>
        </patternFill>
      </fill>
    </dxf>
    <dxf>
      <fill>
        <patternFill>
          <bgColor rgb="FFFF0000"/>
        </patternFill>
      </fill>
    </dxf>
    <dxf>
      <fill>
        <patternFill>
          <bgColor indexed="42"/>
        </patternFill>
      </fill>
    </dxf>
    <dxf>
      <font>
        <b/>
        <i val="0"/>
      </font>
      <border>
        <left style="thin">
          <color auto="1"/>
        </left>
        <right style="thin">
          <color auto="1"/>
        </right>
        <top style="thin">
          <color auto="1"/>
        </top>
        <bottom style="thin">
          <color auto="1"/>
        </bottom>
      </border>
    </dxf>
    <dxf>
      <fill>
        <patternFill>
          <bgColor rgb="FFF0F0F0"/>
        </patternFill>
      </fill>
    </dxf>
    <dxf>
      <fill>
        <patternFill>
          <bgColor rgb="FFF0F0F0"/>
        </patternFill>
      </fill>
    </dxf>
    <dxf>
      <fill>
        <patternFill>
          <bgColor indexed="42"/>
        </patternFill>
      </fill>
    </dxf>
    <dxf>
      <fill>
        <patternFill>
          <bgColor indexed="42"/>
        </patternFill>
      </fill>
    </dxf>
    <dxf>
      <fill>
        <patternFill>
          <bgColor indexed="42"/>
        </patternFill>
      </fill>
    </dxf>
    <dxf>
      <fill>
        <patternFill>
          <bgColor indexed="2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F00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ont>
        <b/>
        <i val="0"/>
      </font>
      <border>
        <left style="thin">
          <color auto="1"/>
        </left>
        <right style="thin">
          <color auto="1"/>
        </right>
        <top style="thin">
          <color auto="1"/>
        </top>
        <bottom style="thin">
          <color auto="1"/>
        </bottom>
      </border>
    </dxf>
    <dxf>
      <fill>
        <patternFill>
          <bgColor rgb="FFF0F0F0"/>
        </patternFill>
      </fill>
    </dxf>
    <dxf>
      <fill>
        <patternFill>
          <bgColor indexed="42"/>
        </patternFill>
      </fill>
    </dxf>
    <dxf>
      <fill>
        <patternFill>
          <bgColor indexed="22"/>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microsoft.com/office/2017/10/relationships/person" Target="NUL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2022</c:v>
                </c:pt>
                <c:pt idx="1">
                  <c:v>2023</c:v>
                </c:pt>
                <c:pt idx="2">
                  <c:v>2024</c:v>
                </c:pt>
                <c:pt idx="3">
                  <c:v>2025</c:v>
                </c:pt>
                <c:pt idx="4">
                  <c:v>2026</c:v>
                </c:pt>
                <c:pt idx="5">
                  <c:v>2027</c:v>
                </c:pt>
                <c:pt idx="6">
                  <c:v>2028</c:v>
                </c:pt>
              </c:numCache>
            </c:numRef>
          </c:cat>
          <c:val>
            <c:numRef>
              <c:f>Marketing!$H$45:$N$45</c:f>
              <c:numCache>
                <c:formatCode>0%;[Red]\(0%\);"-%"</c:formatCode>
                <c:ptCount val="7"/>
                <c:pt idx="0">
                  <c:v>0.33333333333333331</c:v>
                </c:pt>
                <c:pt idx="1">
                  <c:v>0.13333333333333333</c:v>
                </c:pt>
                <c:pt idx="2">
                  <c:v>0.13333333333333333</c:v>
                </c:pt>
                <c:pt idx="3">
                  <c:v>0.13333333333333333</c:v>
                </c:pt>
                <c:pt idx="4">
                  <c:v>0.13333333333333333</c:v>
                </c:pt>
                <c:pt idx="5">
                  <c:v>0.13333333333333333</c:v>
                </c:pt>
                <c:pt idx="6">
                  <c:v>0</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8</xdr:col>
      <xdr:colOff>1010478</xdr:colOff>
      <xdr:row>65</xdr:row>
      <xdr:rowOff>380999</xdr:rowOff>
    </xdr:from>
    <xdr:to>
      <xdr:col>10</xdr:col>
      <xdr:colOff>298175</xdr:colOff>
      <xdr:row>72</xdr:row>
      <xdr:rowOff>132521</xdr:rowOff>
    </xdr:to>
    <xdr:sp macro="" textlink="">
      <xdr:nvSpPr>
        <xdr:cNvPr id="2" name="TextBox 1">
          <a:extLst>
            <a:ext uri="{FF2B5EF4-FFF2-40B4-BE49-F238E27FC236}">
              <a16:creationId xmlns:a16="http://schemas.microsoft.com/office/drawing/2014/main" id="{1334E5A0-3049-4880-A491-B51E80F9CCAF}"/>
            </a:ext>
          </a:extLst>
        </xdr:cNvPr>
        <xdr:cNvSpPr txBox="1"/>
      </xdr:nvSpPr>
      <xdr:spPr>
        <a:xfrm>
          <a:off x="8489674" y="9467021"/>
          <a:ext cx="2087218" cy="1275522"/>
        </a:xfrm>
        <a:prstGeom prst="rect">
          <a:avLst/>
        </a:prstGeom>
        <a:solidFill>
          <a:srgbClr xmlns:mc="http://schemas.openxmlformats.org/markup-compatibility/2006" xmlns:a14="http://schemas.microsoft.com/office/drawing/2010/main" val="FFFF99" mc:Ignorable="a14" a14:legacySpreadsheetColorIndex="4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Overwrite your inputs to the left.  These assumptions are provided as examples only.  They</a:t>
          </a:r>
          <a:r>
            <a:rPr lang="en-US" sz="1100" baseline="0"/>
            <a:t> </a:t>
          </a:r>
          <a:r>
            <a:rPr lang="en-US" sz="1100"/>
            <a:t>are those that other schools have used. They may not be applicable to your situation.</a:t>
          </a:r>
        </a:p>
      </xdr:txBody>
    </xdr:sp>
    <xdr:clientData/>
  </xdr:twoCellAnchor>
  <xdr:twoCellAnchor>
    <xdr:from>
      <xdr:col>14</xdr:col>
      <xdr:colOff>0</xdr:colOff>
      <xdr:row>36</xdr:row>
      <xdr:rowOff>0</xdr:rowOff>
    </xdr:from>
    <xdr:to>
      <xdr:col>14</xdr:col>
      <xdr:colOff>5846884</xdr:colOff>
      <xdr:row>40</xdr:row>
      <xdr:rowOff>68035</xdr:rowOff>
    </xdr:to>
    <xdr:sp macro="" textlink="">
      <xdr:nvSpPr>
        <xdr:cNvPr id="3" name="TextBox 2">
          <a:extLst>
            <a:ext uri="{FF2B5EF4-FFF2-40B4-BE49-F238E27FC236}">
              <a16:creationId xmlns:a16="http://schemas.microsoft.com/office/drawing/2014/main" id="{00D1105B-249E-4133-9642-180D580495C0}"/>
            </a:ext>
          </a:extLst>
        </xdr:cNvPr>
        <xdr:cNvSpPr txBox="1"/>
      </xdr:nvSpPr>
      <xdr:spPr>
        <a:xfrm>
          <a:off x="14793058" y="6982558"/>
          <a:ext cx="5846884" cy="830035"/>
        </a:xfrm>
        <a:prstGeom prst="rect">
          <a:avLst/>
        </a:prstGeom>
        <a:solidFill>
          <a:srgbClr xmlns:mc="http://schemas.openxmlformats.org/markup-compatibility/2006" xmlns:a14="http://schemas.microsoft.com/office/drawing/2010/main" val="FF8080" mc:Ignorable="a14" a14:legacySpreadsheetColorIndex="2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your assumptions to the left.  The given</a:t>
          </a:r>
          <a:r>
            <a:rPr lang="en-US" sz="1100" baseline="0"/>
            <a:t> </a:t>
          </a:r>
          <a:r>
            <a:rPr lang="en-US" sz="1100"/>
            <a:t>assumptions may be for model testing  or are from other application groups and </a:t>
          </a:r>
          <a:r>
            <a:rPr lang="en-US" sz="1100">
              <a:solidFill>
                <a:schemeClr val="dk1"/>
              </a:solidFill>
              <a:effectLst/>
              <a:latin typeface="+mn-lt"/>
              <a:ea typeface="+mn-ea"/>
              <a:cs typeface="+mn-cs"/>
            </a:rPr>
            <a:t>may not be applicable to your situation</a:t>
          </a:r>
          <a:r>
            <a:rPr lang="en-US" sz="1100" baseline="0"/>
            <a:t>.  </a:t>
          </a:r>
        </a:p>
        <a:p>
          <a:r>
            <a:rPr lang="en-US" sz="1100"/>
            <a:t>The model assumptions should be overwritten with your assumptions.  7/5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46</xdr:row>
      <xdr:rowOff>180975</xdr:rowOff>
    </xdr:from>
    <xdr:to>
      <xdr:col>12</xdr:col>
      <xdr:colOff>733425</xdr:colOff>
      <xdr:row>62</xdr:row>
      <xdr:rowOff>133350</xdr:rowOff>
    </xdr:to>
    <xdr:sp macro="" textlink="">
      <xdr:nvSpPr>
        <xdr:cNvPr id="3" name="TextBox 2">
          <a:extLst>
            <a:ext uri="{FF2B5EF4-FFF2-40B4-BE49-F238E27FC236}">
              <a16:creationId xmlns:a16="http://schemas.microsoft.com/office/drawing/2014/main" id="{EE61AF48-7033-4E02-B3E1-47F6974AFA13}"/>
            </a:ext>
          </a:extLst>
        </xdr:cNvPr>
        <xdr:cNvSpPr txBox="1"/>
      </xdr:nvSpPr>
      <xdr:spPr>
        <a:xfrm>
          <a:off x="7880985" y="15146655"/>
          <a:ext cx="8016240" cy="2764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PERS,</a:t>
          </a:r>
          <a:r>
            <a:rPr lang="en-US" sz="1100" baseline="0">
              <a:solidFill>
                <a:schemeClr val="dk1"/>
              </a:solidFill>
              <a:effectLst/>
              <a:latin typeface="+mn-lt"/>
              <a:ea typeface="+mn-ea"/>
              <a:cs typeface="+mn-cs"/>
            </a:rPr>
            <a:t> 7</a:t>
          </a:r>
          <a:r>
            <a:rPr lang="en-US" sz="1100">
              <a:solidFill>
                <a:schemeClr val="dk1"/>
              </a:solidFill>
              <a:effectLst/>
              <a:latin typeface="+mn-lt"/>
              <a:ea typeface="+mn-ea"/>
              <a:cs typeface="+mn-cs"/>
            </a:rPr>
            <a:t>/10/2020 :</a:t>
          </a:r>
          <a:endParaRPr lang="en-US">
            <a:effectLst/>
          </a:endParaRPr>
        </a:p>
        <a:p>
          <a:r>
            <a:rPr lang="en-US" sz="1100">
              <a:solidFill>
                <a:schemeClr val="dk1"/>
              </a:solidFill>
              <a:effectLst/>
              <a:latin typeface="+mn-lt"/>
              <a:ea typeface="+mn-ea"/>
              <a:cs typeface="+mn-cs"/>
            </a:rPr>
            <a:t>* Charter Schools are Choice agencies so all PERS eligible employees would have the option to select the Employer paid or the Employee/Employer paid contribution plan if the employee has never selected the Employer paid plan in the past at a choice employer.</a:t>
          </a:r>
        </a:p>
        <a:p>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some School Districts their Certified employees are Non Choice and must be reported under the Employer Paid plan, and their non certified staff for some Districts do have a choice of plans. I believe the certified/ non certified would apply more to the School Districts in the State, and not the Charter Schools.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4/14/2020 :</a:t>
          </a:r>
        </a:p>
        <a:p>
          <a:pPr eaLnBrk="1" fontAlgn="auto" latinLnBrk="0" hangingPunct="1"/>
          <a:r>
            <a:rPr lang="en-US" sz="1100">
              <a:solidFill>
                <a:schemeClr val="dk1"/>
              </a:solidFill>
              <a:effectLst/>
              <a:latin typeface="+mn-lt"/>
              <a:ea typeface="+mn-ea"/>
              <a:cs typeface="+mn-cs"/>
            </a:rPr>
            <a:t>* The Employer Paid rate is 29.25% and the Employee/ Employer Paid plan is 15.25% for the EE and 15.25% for the Employer.</a:t>
          </a:r>
          <a:endParaRPr lang="en-US">
            <a:effectLst/>
          </a:endParaRPr>
        </a:p>
        <a:p>
          <a:endParaRPr lang="en-US">
            <a:effectLst/>
          </a:endParaRPr>
        </a:p>
        <a:p>
          <a:r>
            <a:rPr lang="en-US">
              <a:hlinkClick xmlns:r="http://schemas.openxmlformats.org/officeDocument/2006/relationships" r:id=""/>
            </a:rPr>
            <a:t>https://www.nvpers.org/public/employers/PERS%20Official%20Policies.pdf</a:t>
          </a:r>
          <a:endParaRPr lang="en-US">
            <a:effectLst/>
          </a:endParaRPr>
        </a:p>
        <a:p>
          <a:endParaRPr lang="en-US">
            <a:effectLst/>
          </a:endParaRPr>
        </a:p>
        <a:p>
          <a:r>
            <a:rPr lang="en-US"/>
            <a:t>CONTRIBUTION PLAN ELECTION 286.200 3.44 New hires after January 1, 1991, of the employee groups enumerated in Policy 3.24 shall have the option to: a. Contribute under the employee/employer contribution plan, or b. Contribute under the employer-pay contribution plan. 286.200 3.45 New hires under Policy 3.44 who elect to contribute under the employee/employer contribution plan may: a. At any time after their date of hire, elect to contribute under the employer-pay contribution plan but, b. Once they elect to contribute under the employer-pay contribution plan may not thereafter revert to the employee/employer contribution plan. 286.200 3.46 New hires failing to make an election to contribute under either the employee/employer contribution plan or the employer-pay contribution plan under Policy 3.44 shall be enrolled in the employee/employer contribution plan. </a:t>
          </a:r>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351075</xdr:colOff>
      <xdr:row>53</xdr:row>
      <xdr:rowOff>152288</xdr:rowOff>
    </xdr:from>
    <xdr:to>
      <xdr:col>5</xdr:col>
      <xdr:colOff>425530</xdr:colOff>
      <xdr:row>98</xdr:row>
      <xdr:rowOff>88375</xdr:rowOff>
    </xdr:to>
    <xdr:sp macro="" textlink="">
      <xdr:nvSpPr>
        <xdr:cNvPr id="2" name="TextBox 1">
          <a:extLst>
            <a:ext uri="{FF2B5EF4-FFF2-40B4-BE49-F238E27FC236}">
              <a16:creationId xmlns:a16="http://schemas.microsoft.com/office/drawing/2014/main" id="{240D1027-C1D0-47E6-B105-8D66286594A0}"/>
            </a:ext>
          </a:extLst>
        </xdr:cNvPr>
        <xdr:cNvSpPr txBox="1"/>
      </xdr:nvSpPr>
      <xdr:spPr>
        <a:xfrm>
          <a:off x="351075" y="10147935"/>
          <a:ext cx="6338543" cy="7500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NAC 388A.190</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Provision and maintenance of industrial and general liability insurance coverage. (</a:t>
          </a:r>
          <a:r>
            <a:rPr lang="en-US" sz="1100" u="sng">
              <a:solidFill>
                <a:schemeClr val="dk1"/>
              </a:solidFill>
              <a:effectLst/>
              <a:latin typeface="+mn-lt"/>
              <a:ea typeface="+mn-ea"/>
              <a:cs typeface="+mn-cs"/>
              <a:hlinkClick xmlns:r="http://schemas.openxmlformats.org/officeDocument/2006/relationships" r:id=""/>
            </a:rPr>
            <a:t>NRS 385.080</a:t>
          </a:r>
          <a:r>
            <a:rPr lang="en-US" sz="1100" b="1">
              <a:solidFill>
                <a:schemeClr val="dk1"/>
              </a:solidFill>
              <a:effectLst/>
              <a:latin typeface="+mn-lt"/>
              <a:ea typeface="+mn-ea"/>
              <a:cs typeface="+mn-cs"/>
            </a:rPr>
            <a:t>, </a:t>
          </a:r>
          <a:r>
            <a:rPr lang="en-US" sz="1100" u="sng">
              <a:solidFill>
                <a:schemeClr val="dk1"/>
              </a:solidFill>
              <a:effectLst/>
              <a:latin typeface="+mn-lt"/>
              <a:ea typeface="+mn-ea"/>
              <a:cs typeface="+mn-cs"/>
              <a:hlinkClick xmlns:r="http://schemas.openxmlformats.org/officeDocument/2006/relationships" r:id=""/>
            </a:rPr>
            <a:t>388A.110</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1.  Except as otherwise provided in subsection 4 of </a:t>
          </a:r>
          <a:r>
            <a:rPr lang="en-US" sz="1100" u="sng">
              <a:solidFill>
                <a:schemeClr val="dk1"/>
              </a:solidFill>
              <a:effectLst/>
              <a:latin typeface="+mn-lt"/>
              <a:ea typeface="+mn-ea"/>
              <a:cs typeface="+mn-cs"/>
              <a:hlinkClick xmlns:r="http://schemas.openxmlformats.org/officeDocument/2006/relationships" r:id=""/>
            </a:rPr>
            <a:t>NAC 388A.140</a:t>
          </a:r>
          <a:r>
            <a:rPr lang="en-US" sz="1100">
              <a:solidFill>
                <a:schemeClr val="dk1"/>
              </a:solidFill>
              <a:effectLst/>
              <a:latin typeface="+mn-lt"/>
              <a:ea typeface="+mn-ea"/>
              <a:cs typeface="+mn-cs"/>
            </a:rPr>
            <a:t>, a committee to form a charter school shall obtain insurance from an authorized insurer as follows:</a:t>
          </a:r>
        </a:p>
        <a:p>
          <a:r>
            <a:rPr lang="en-US" sz="1100">
              <a:solidFill>
                <a:schemeClr val="dk1"/>
              </a:solidFill>
              <a:effectLst/>
              <a:latin typeface="+mn-lt"/>
              <a:ea typeface="+mn-ea"/>
              <a:cs typeface="+mn-cs"/>
            </a:rPr>
            <a:t>     (a) Industrial insurance coverage in accordance with the applicable provisions of the Nevada Industrial Insurance Act, </a:t>
          </a:r>
          <a:r>
            <a:rPr lang="en-US" sz="1100" u="sng">
              <a:solidFill>
                <a:schemeClr val="dk1"/>
              </a:solidFill>
              <a:effectLst/>
              <a:latin typeface="+mn-lt"/>
              <a:ea typeface="+mn-ea"/>
              <a:cs typeface="+mn-cs"/>
              <a:hlinkClick xmlns:r="http://schemas.openxmlformats.org/officeDocument/2006/relationships" r:id=""/>
            </a:rPr>
            <a:t>chapters 616A</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hlinkClick xmlns:r="http://schemas.openxmlformats.org/officeDocument/2006/relationships" r:id=""/>
            </a:rPr>
            <a:t>616D</a:t>
          </a:r>
          <a:r>
            <a:rPr lang="en-US" sz="1100">
              <a:solidFill>
                <a:schemeClr val="dk1"/>
              </a:solidFill>
              <a:effectLst/>
              <a:latin typeface="+mn-lt"/>
              <a:ea typeface="+mn-ea"/>
              <a:cs typeface="+mn-cs"/>
            </a:rPr>
            <a:t>, inclusive, of NRS.</a:t>
          </a:r>
        </a:p>
        <a:p>
          <a:r>
            <a:rPr lang="en-US" sz="1100">
              <a:solidFill>
                <a:schemeClr val="dk1"/>
              </a:solidFill>
              <a:effectLst/>
              <a:latin typeface="+mn-lt"/>
              <a:ea typeface="+mn-ea"/>
              <a:cs typeface="+mn-cs"/>
            </a:rPr>
            <a:t>     (b) Except as otherwise provided in subsection 2, </a:t>
          </a:r>
          <a:r>
            <a:rPr lang="en-US" sz="1100" b="0">
              <a:solidFill>
                <a:schemeClr val="dk1"/>
              </a:solidFill>
              <a:effectLst/>
              <a:latin typeface="+mn-lt"/>
              <a:ea typeface="+mn-ea"/>
              <a:cs typeface="+mn-cs"/>
            </a:rPr>
            <a:t>general liability</a:t>
          </a:r>
          <a:r>
            <a:rPr lang="en-US" sz="1100">
              <a:solidFill>
                <a:schemeClr val="dk1"/>
              </a:solidFill>
              <a:effectLst/>
              <a:latin typeface="+mn-lt"/>
              <a:ea typeface="+mn-ea"/>
              <a:cs typeface="+mn-cs"/>
            </a:rPr>
            <a:t> insurance with a minimum coverage of $1,000,000. The general liability insurance policy must include coverage for molestation and sexual abuse, and have a broad form policy, with the named insureds as follows:</a:t>
          </a:r>
        </a:p>
        <a:p>
          <a:r>
            <a:rPr lang="en-US" sz="1100">
              <a:solidFill>
                <a:schemeClr val="dk1"/>
              </a:solidFill>
              <a:effectLst/>
              <a:latin typeface="+mn-lt"/>
              <a:ea typeface="+mn-ea"/>
              <a:cs typeface="+mn-cs"/>
            </a:rPr>
            <a:t>          (1) The sponsor of the charter school;</a:t>
          </a:r>
        </a:p>
        <a:p>
          <a:r>
            <a:rPr lang="en-US" sz="1100">
              <a:solidFill>
                <a:schemeClr val="dk1"/>
              </a:solidFill>
              <a:effectLst/>
              <a:latin typeface="+mn-lt"/>
              <a:ea typeface="+mn-ea"/>
              <a:cs typeface="+mn-cs"/>
            </a:rPr>
            <a:t>          (2) All employees of the charter school, including, without limitation, former, present and future employees;</a:t>
          </a:r>
        </a:p>
        <a:p>
          <a:r>
            <a:rPr lang="en-US" sz="1100">
              <a:solidFill>
                <a:schemeClr val="dk1"/>
              </a:solidFill>
              <a:effectLst/>
              <a:latin typeface="+mn-lt"/>
              <a:ea typeface="+mn-ea"/>
              <a:cs typeface="+mn-cs"/>
            </a:rPr>
            <a:t>          (3) Volunteers at the charter school; and</a:t>
          </a:r>
        </a:p>
        <a:p>
          <a:r>
            <a:rPr lang="en-US" sz="1100">
              <a:solidFill>
                <a:schemeClr val="dk1"/>
              </a:solidFill>
              <a:effectLst/>
              <a:latin typeface="+mn-lt"/>
              <a:ea typeface="+mn-ea"/>
              <a:cs typeface="+mn-cs"/>
            </a:rPr>
            <a:t>          (4) </a:t>
          </a:r>
          <a:r>
            <a:rPr lang="en-US" sz="1100" b="0">
              <a:solidFill>
                <a:schemeClr val="dk1"/>
              </a:solidFill>
              <a:effectLst/>
              <a:latin typeface="+mn-lt"/>
              <a:ea typeface="+mn-ea"/>
              <a:cs typeface="+mn-cs"/>
            </a:rPr>
            <a:t>Directors </a:t>
          </a:r>
          <a:r>
            <a:rPr lang="en-US" sz="1100">
              <a:solidFill>
                <a:schemeClr val="dk1"/>
              </a:solidFill>
              <a:effectLst/>
              <a:latin typeface="+mn-lt"/>
              <a:ea typeface="+mn-ea"/>
              <a:cs typeface="+mn-cs"/>
            </a:rPr>
            <a:t>of the charter school, including, </a:t>
          </a:r>
          <a:r>
            <a:rPr lang="en-US" sz="1100" b="0">
              <a:solidFill>
                <a:schemeClr val="dk1"/>
              </a:solidFill>
              <a:effectLst/>
              <a:latin typeface="+mn-lt"/>
              <a:ea typeface="+mn-ea"/>
              <a:cs typeface="+mn-cs"/>
            </a:rPr>
            <a:t>without limitation, executive directors.</a:t>
          </a:r>
        </a:p>
        <a:p>
          <a:r>
            <a:rPr lang="en-US" sz="1100">
              <a:solidFill>
                <a:schemeClr val="dk1"/>
              </a:solidFill>
              <a:effectLst/>
              <a:latin typeface="+mn-lt"/>
              <a:ea typeface="+mn-ea"/>
              <a:cs typeface="+mn-cs"/>
            </a:rPr>
            <a:t>     (c) Umbrella liability insurance with a minimum coverage of $3,000,000.               </a:t>
          </a:r>
        </a:p>
        <a:p>
          <a:r>
            <a:rPr lang="en-US" sz="1100">
              <a:solidFill>
                <a:schemeClr val="dk1"/>
              </a:solidFill>
              <a:effectLst/>
              <a:latin typeface="+mn-lt"/>
              <a:ea typeface="+mn-ea"/>
              <a:cs typeface="+mn-cs"/>
            </a:rPr>
            <a:t>     (d) Educators’ legal liability insurance with a minimum coverage of $1,000,000.</a:t>
          </a:r>
        </a:p>
        <a:p>
          <a:r>
            <a:rPr lang="en-US" sz="1100">
              <a:solidFill>
                <a:schemeClr val="dk1"/>
              </a:solidFill>
              <a:effectLst/>
              <a:latin typeface="+mn-lt"/>
              <a:ea typeface="+mn-ea"/>
              <a:cs typeface="+mn-cs"/>
            </a:rPr>
            <a:t>     (e) Employment practices liability insurance with a minimum coverage of $1,000,000.</a:t>
          </a:r>
        </a:p>
        <a:p>
          <a:r>
            <a:rPr lang="en-US" sz="1100">
              <a:solidFill>
                <a:schemeClr val="dk1"/>
              </a:solidFill>
              <a:effectLst/>
              <a:latin typeface="+mn-lt"/>
              <a:ea typeface="+mn-ea"/>
              <a:cs typeface="+mn-cs"/>
            </a:rPr>
            <a:t>     (f) Employment benefits liability insurance with a minimum coverage of $1,000,000.</a:t>
          </a:r>
        </a:p>
        <a:p>
          <a:r>
            <a:rPr lang="en-US" sz="1100">
              <a:solidFill>
                <a:schemeClr val="dk1"/>
              </a:solidFill>
              <a:effectLst/>
              <a:latin typeface="+mn-lt"/>
              <a:ea typeface="+mn-ea"/>
              <a:cs typeface="+mn-cs"/>
            </a:rPr>
            <a:t>     (g) Insurance covering errors and omissions of the sponsor and governing body of the charter school with a minimum coverage of $1,000,000.</a:t>
          </a:r>
        </a:p>
        <a:p>
          <a:r>
            <a:rPr lang="en-US" sz="1100">
              <a:solidFill>
                <a:schemeClr val="dk1"/>
              </a:solidFill>
              <a:effectLst/>
              <a:latin typeface="+mn-lt"/>
              <a:ea typeface="+mn-ea"/>
              <a:cs typeface="+mn-cs"/>
            </a:rPr>
            <a:t>     (h) If applicable, motor vehicle liability insurance with a minimum coverage of $1,000,000.</a:t>
          </a:r>
        </a:p>
        <a:p>
          <a:r>
            <a:rPr lang="en-US" sz="1100">
              <a:solidFill>
                <a:schemeClr val="dk1"/>
              </a:solidFill>
              <a:effectLst/>
              <a:latin typeface="+mn-lt"/>
              <a:ea typeface="+mn-ea"/>
              <a:cs typeface="+mn-cs"/>
            </a:rPr>
            <a:t>     (i) If applicable, liability insurance for sports and athletic participation with a minimum coverage of $1,000,000.</a:t>
          </a:r>
        </a:p>
        <a:p>
          <a:r>
            <a:rPr lang="en-US" sz="1100">
              <a:solidFill>
                <a:schemeClr val="dk1"/>
              </a:solidFill>
              <a:effectLst/>
              <a:latin typeface="+mn-lt"/>
              <a:ea typeface="+mn-ea"/>
              <a:cs typeface="+mn-cs"/>
            </a:rPr>
            <a:t>Ê The cost of insurance required by this subsection must be provided to the proposed sponsor by the authorized insurer and included in each budget submitted pursuant to subsection 4 of </a:t>
          </a:r>
          <a:r>
            <a:rPr lang="en-US" sz="1100" u="sng">
              <a:solidFill>
                <a:schemeClr val="dk1"/>
              </a:solidFill>
              <a:effectLst/>
              <a:latin typeface="+mn-lt"/>
              <a:ea typeface="+mn-ea"/>
              <a:cs typeface="+mn-cs"/>
              <a:hlinkClick xmlns:r="http://schemas.openxmlformats.org/officeDocument/2006/relationships" r:id=""/>
            </a:rPr>
            <a:t>NAC 388A.160</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hlinkClick xmlns:r="http://schemas.openxmlformats.org/officeDocument/2006/relationships" r:id=""/>
            </a:rPr>
            <a:t>NAC 387.725</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2.  The sponsor of a charter school may waive all or part of the general liability insurance required pursuant to paragraph (b) of subsection 1 if the sponsor determines that such a waiver is reasonable based upon the risk profile of the charter school or the conditions of the insurance market, or both, including, without limitation, a determination that the cost of obtaining the insurance is excessive or that the insurance is not available because of special circumstances of the charter school.</a:t>
          </a:r>
        </a:p>
        <a:p>
          <a:r>
            <a:rPr lang="en-US" sz="1100">
              <a:solidFill>
                <a:schemeClr val="dk1"/>
              </a:solidFill>
              <a:effectLst/>
              <a:latin typeface="+mn-lt"/>
              <a:ea typeface="+mn-ea"/>
              <a:cs typeface="+mn-cs"/>
            </a:rPr>
            <a:t>     3.  If an application to form a charter school is approved, the governing body of the charter school shall maintain the insurance required by this section.</a:t>
          </a:r>
        </a:p>
        <a:p>
          <a:r>
            <a:rPr lang="en-US" sz="1100">
              <a:solidFill>
                <a:schemeClr val="dk1"/>
              </a:solidFill>
              <a:effectLst/>
              <a:latin typeface="+mn-lt"/>
              <a:ea typeface="+mn-ea"/>
              <a:cs typeface="+mn-cs"/>
            </a:rPr>
            <a:t>     4.  An insurer that provides any insurance required pursuant to this section must have a rating of “A-” or better and be classified in a financial category of “VII” or better as determined by A.M. Best Company of Oldwick, New Jersey.</a:t>
          </a:r>
        </a:p>
        <a:p>
          <a:r>
            <a:rPr lang="en-US" sz="1100">
              <a:solidFill>
                <a:schemeClr val="dk1"/>
              </a:solidFill>
              <a:effectLst/>
              <a:latin typeface="+mn-lt"/>
              <a:ea typeface="+mn-ea"/>
              <a:cs typeface="+mn-cs"/>
            </a:rPr>
            <a:t>     5.  As used in this section, “motor vehicle” has the meaning ascribed to it in </a:t>
          </a:r>
          <a:r>
            <a:rPr lang="en-US" sz="1100" u="sng">
              <a:solidFill>
                <a:schemeClr val="dk1"/>
              </a:solidFill>
              <a:effectLst/>
              <a:latin typeface="+mn-lt"/>
              <a:ea typeface="+mn-ea"/>
              <a:cs typeface="+mn-cs"/>
              <a:hlinkClick xmlns:r="http://schemas.openxmlformats.org/officeDocument/2006/relationships" r:id=""/>
            </a:rPr>
            <a:t>NRS 485.050</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(Added to NAC by Dep’t of Education by R044-05, eff. 10-31-2005; A by R074-07, 10-31-2007; A by Bd. of Education by R026-09, 10-27-2009; A by Dep’t of Education by R035-14, 12-22-2014) — (Substituted in revision for NAC 386.215)</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20</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238125</xdr:colOff>
      <xdr:row>228</xdr:row>
      <xdr:rowOff>190500</xdr:rowOff>
    </xdr:from>
    <xdr:to>
      <xdr:col>37</xdr:col>
      <xdr:colOff>266700</xdr:colOff>
      <xdr:row>249</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55</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NUL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NUL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microsoft.com/office/2017/10/relationships/threadedComment" Target="NUL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NUL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NUL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NUL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NUL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NUL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6.bin"/><Relationship Id="rId5" Type="http://schemas.microsoft.com/office/2017/10/relationships/threadedComment" Target="NULL"/><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8.bin"/><Relationship Id="rId5" Type="http://schemas.microsoft.com/office/2017/10/relationships/threadedComment" Target="NULL"/><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 Id="rId4" Type="http://schemas.microsoft.com/office/2017/10/relationships/threadedComment" Target="NUL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96"/>
  <sheetViews>
    <sheetView topLeftCell="A64" workbookViewId="0">
      <selection activeCell="B15" sqref="B15"/>
    </sheetView>
  </sheetViews>
  <sheetFormatPr defaultRowHeight="15"/>
  <cols>
    <col min="1" max="1" width="119.140625" customWidth="1"/>
  </cols>
  <sheetData>
    <row r="1" spans="1:11" ht="15.75">
      <c r="A1" s="26" t="s">
        <v>0</v>
      </c>
    </row>
    <row r="2" spans="1:11" ht="15.75">
      <c r="A2" s="199" t="str">
        <f>SchoolName</f>
        <v>Strong Start Academy Elementary School</v>
      </c>
    </row>
    <row r="3" spans="1:11">
      <c r="A3" s="581" t="s">
        <v>1</v>
      </c>
      <c r="G3" s="704"/>
      <c r="H3" s="704"/>
      <c r="I3" s="704"/>
      <c r="J3" s="704"/>
      <c r="K3" s="704"/>
    </row>
    <row r="4" spans="1:11">
      <c r="A4" s="582" t="str">
        <f ca="1">CELL("filename")</f>
        <v>C:\Users\rsaucedo\OneDrive - City of Las Vegas\CLV Charter School\[Strong Start Academy Elementary School Financial Workbook 2021.xlsx]Incubation</v>
      </c>
    </row>
    <row r="5" spans="1:11" ht="15.75">
      <c r="A5" s="630" t="s">
        <v>2</v>
      </c>
    </row>
    <row r="6" spans="1:11" ht="15.75">
      <c r="A6" s="638" t="s">
        <v>3</v>
      </c>
    </row>
    <row r="7" spans="1:11" ht="12.6" customHeight="1"/>
    <row r="8" spans="1:11" ht="138.75" customHeight="1">
      <c r="A8" s="1041" t="s">
        <v>4</v>
      </c>
    </row>
    <row r="10" spans="1:11" ht="15.75">
      <c r="A10" s="638" t="s">
        <v>5</v>
      </c>
    </row>
    <row r="11" spans="1:11" ht="95.25" customHeight="1">
      <c r="A11" s="482" t="s">
        <v>6</v>
      </c>
    </row>
    <row r="12" spans="1:11">
      <c r="A12" s="2"/>
    </row>
    <row r="13" spans="1:11">
      <c r="A13" s="484" t="s">
        <v>7</v>
      </c>
    </row>
    <row r="14" spans="1:11">
      <c r="A14" s="3" t="s">
        <v>8</v>
      </c>
    </row>
    <row r="15" spans="1:11">
      <c r="A15" s="3"/>
    </row>
    <row r="16" spans="1:11">
      <c r="A16" s="484" t="s">
        <v>9</v>
      </c>
    </row>
    <row r="17" spans="1:26" ht="30">
      <c r="A17" s="3" t="s">
        <v>10</v>
      </c>
    </row>
    <row r="18" spans="1:26">
      <c r="A18" s="2"/>
    </row>
    <row r="19" spans="1:26">
      <c r="A19" s="1822" t="s">
        <v>1237</v>
      </c>
    </row>
    <row r="20" spans="1:26">
      <c r="A20" s="484" t="s">
        <v>1238</v>
      </c>
    </row>
    <row r="21" spans="1:26" ht="30" hidden="1">
      <c r="A21" s="483" t="s">
        <v>11</v>
      </c>
    </row>
    <row r="22" spans="1:26" ht="30" hidden="1">
      <c r="A22" s="483" t="s">
        <v>12</v>
      </c>
    </row>
    <row r="23" spans="1:26" ht="30" hidden="1">
      <c r="A23" s="483" t="s">
        <v>13</v>
      </c>
    </row>
    <row r="24" spans="1:26" ht="45">
      <c r="A24" s="2" t="s">
        <v>1236</v>
      </c>
    </row>
    <row r="25" spans="1:26" ht="33.75" customHeight="1">
      <c r="A25" s="2" t="s">
        <v>1239</v>
      </c>
    </row>
    <row r="26" spans="1:26" ht="30">
      <c r="A26" s="2" t="s">
        <v>14</v>
      </c>
      <c r="S26" s="6"/>
      <c r="T26" s="6"/>
      <c r="U26" s="6"/>
      <c r="V26" s="6"/>
      <c r="W26" s="6"/>
      <c r="X26" s="6"/>
      <c r="Y26" s="6"/>
      <c r="Z26" s="6"/>
    </row>
    <row r="27" spans="1:26">
      <c r="A27" t="s">
        <v>15</v>
      </c>
      <c r="S27" s="6"/>
      <c r="T27" s="6"/>
      <c r="U27" s="6"/>
      <c r="V27" s="6"/>
      <c r="W27" s="6"/>
      <c r="X27" s="6"/>
      <c r="Y27" s="6"/>
      <c r="Z27" s="6"/>
    </row>
    <row r="28" spans="1:26">
      <c r="A28" s="1" t="s">
        <v>16</v>
      </c>
      <c r="S28" s="6"/>
      <c r="T28" s="6"/>
      <c r="U28" s="6"/>
      <c r="V28" s="6"/>
      <c r="W28" s="6"/>
      <c r="X28" s="6"/>
      <c r="Y28" s="6"/>
      <c r="Z28" s="6"/>
    </row>
    <row r="29" spans="1:26">
      <c r="A29" s="1" t="s">
        <v>17</v>
      </c>
      <c r="S29" s="6"/>
      <c r="T29" s="6"/>
      <c r="U29" s="6"/>
      <c r="V29" s="6"/>
      <c r="W29" s="6"/>
      <c r="X29" s="6"/>
      <c r="Y29" s="6"/>
      <c r="Z29" s="6"/>
    </row>
    <row r="30" spans="1:26">
      <c r="A30" s="1" t="s">
        <v>18</v>
      </c>
      <c r="S30" s="6"/>
      <c r="T30" s="6"/>
      <c r="U30" s="6"/>
      <c r="V30" s="6"/>
      <c r="W30" s="6"/>
      <c r="X30" s="6"/>
      <c r="Y30" s="6"/>
      <c r="Z30" s="6"/>
    </row>
    <row r="31" spans="1:26">
      <c r="A31" s="1" t="s">
        <v>19</v>
      </c>
      <c r="S31" s="6"/>
      <c r="T31" s="6"/>
      <c r="U31" s="6"/>
      <c r="V31" s="6"/>
      <c r="W31" s="6"/>
      <c r="X31" s="6"/>
      <c r="Y31" s="6"/>
      <c r="Z31" s="6"/>
    </row>
    <row r="32" spans="1:26">
      <c r="A32" s="1" t="s">
        <v>20</v>
      </c>
      <c r="S32" s="6"/>
      <c r="T32" s="6"/>
      <c r="U32" s="6"/>
      <c r="V32" s="6"/>
      <c r="W32" s="6"/>
      <c r="X32" s="6"/>
      <c r="Y32" s="6"/>
      <c r="Z32" s="6"/>
    </row>
    <row r="33" spans="1:26">
      <c r="A33" s="1" t="s">
        <v>21</v>
      </c>
      <c r="S33" s="6"/>
      <c r="T33" s="6"/>
      <c r="U33" s="6"/>
      <c r="V33" s="6"/>
      <c r="W33" s="6"/>
      <c r="X33" s="6"/>
      <c r="Y33" s="6"/>
      <c r="Z33" s="6"/>
    </row>
    <row r="34" spans="1:26">
      <c r="S34" s="6"/>
      <c r="T34" s="6"/>
      <c r="U34" s="6"/>
      <c r="V34" s="6"/>
      <c r="W34" s="6"/>
      <c r="X34" s="6"/>
      <c r="Y34" s="6"/>
      <c r="Z34" s="6"/>
    </row>
    <row r="35" spans="1:26">
      <c r="A35" s="484" t="s">
        <v>1240</v>
      </c>
      <c r="S35" s="6"/>
      <c r="T35" s="6"/>
      <c r="U35" s="6"/>
      <c r="V35" s="6"/>
      <c r="W35" s="6"/>
      <c r="X35" s="6"/>
      <c r="Y35" s="6"/>
      <c r="Z35" s="6"/>
    </row>
    <row r="36" spans="1:26" ht="45">
      <c r="A36" s="3" t="s">
        <v>22</v>
      </c>
      <c r="S36" s="6"/>
      <c r="T36" s="6"/>
      <c r="U36" s="6"/>
      <c r="V36" s="6"/>
      <c r="W36" s="6"/>
      <c r="X36" s="6"/>
      <c r="Y36" s="6"/>
      <c r="Z36" s="6"/>
    </row>
    <row r="37" spans="1:26">
      <c r="A37" s="484" t="s">
        <v>1241</v>
      </c>
      <c r="S37" s="6"/>
      <c r="T37" s="6"/>
      <c r="U37" s="6"/>
      <c r="V37" s="6"/>
      <c r="W37" s="6"/>
      <c r="X37" s="6"/>
      <c r="Y37" s="6"/>
      <c r="Z37" s="6"/>
    </row>
    <row r="38" spans="1:26" hidden="1">
      <c r="A38" s="399" t="s">
        <v>23</v>
      </c>
      <c r="S38" s="6"/>
      <c r="T38" s="6"/>
      <c r="U38" s="6"/>
      <c r="V38" s="6"/>
      <c r="W38" s="6"/>
      <c r="X38" s="6"/>
      <c r="Y38" s="6"/>
      <c r="Z38" s="6"/>
    </row>
    <row r="39" spans="1:26" hidden="1">
      <c r="A39" s="399" t="s">
        <v>24</v>
      </c>
      <c r="S39" s="6"/>
      <c r="T39" s="6"/>
      <c r="U39" s="6"/>
      <c r="V39" s="6"/>
      <c r="W39" s="6"/>
      <c r="X39" s="6"/>
      <c r="Y39" s="6"/>
      <c r="Z39" s="6"/>
    </row>
    <row r="40" spans="1:26" hidden="1">
      <c r="A40" s="399" t="s">
        <v>25</v>
      </c>
      <c r="S40" s="6"/>
      <c r="T40" s="6"/>
      <c r="U40" s="6"/>
      <c r="V40" s="6"/>
      <c r="W40" s="6"/>
      <c r="X40" s="6"/>
      <c r="Y40" s="6"/>
      <c r="Z40" s="6"/>
    </row>
    <row r="41" spans="1:26" ht="30" hidden="1">
      <c r="A41" s="483" t="s">
        <v>26</v>
      </c>
      <c r="S41" s="6"/>
      <c r="T41" s="6"/>
      <c r="U41" s="6"/>
      <c r="V41" s="6"/>
      <c r="W41" s="6"/>
      <c r="X41" s="6"/>
      <c r="Y41" s="6"/>
      <c r="Z41" s="6"/>
    </row>
    <row r="42" spans="1:26" hidden="1">
      <c r="A42" s="399" t="s">
        <v>27</v>
      </c>
      <c r="S42" s="6"/>
      <c r="T42" s="6"/>
      <c r="U42" s="6"/>
      <c r="V42" s="6"/>
      <c r="W42" s="6"/>
      <c r="X42" s="6"/>
      <c r="Y42" s="6"/>
      <c r="Z42" s="6"/>
    </row>
    <row r="43" spans="1:26" hidden="1">
      <c r="A43" s="399" t="s">
        <v>28</v>
      </c>
      <c r="S43" s="6"/>
      <c r="T43" s="6"/>
      <c r="U43" s="6"/>
      <c r="V43" s="6"/>
      <c r="W43" s="6"/>
      <c r="X43" s="6"/>
      <c r="Y43" s="6"/>
      <c r="Z43" s="6"/>
    </row>
    <row r="44" spans="1:26" hidden="1">
      <c r="A44" s="399" t="s">
        <v>29</v>
      </c>
      <c r="S44" s="6"/>
      <c r="T44" s="6"/>
      <c r="U44" s="6"/>
      <c r="V44" s="6"/>
      <c r="W44" s="6"/>
      <c r="X44" s="6"/>
      <c r="Y44" s="6"/>
      <c r="Z44" s="6"/>
    </row>
    <row r="45" spans="1:26" ht="30" hidden="1">
      <c r="A45" s="483" t="s">
        <v>30</v>
      </c>
      <c r="S45" s="6"/>
      <c r="T45" s="6"/>
      <c r="U45" s="6"/>
      <c r="V45" s="6"/>
      <c r="W45" s="6"/>
      <c r="X45" s="6"/>
      <c r="Y45" s="6"/>
      <c r="Z45" s="6"/>
    </row>
    <row r="46" spans="1:26" ht="47.25" hidden="1" customHeight="1">
      <c r="A46" s="483" t="s">
        <v>31</v>
      </c>
      <c r="S46" s="6"/>
      <c r="T46" s="6"/>
      <c r="U46" s="6"/>
      <c r="V46" s="6"/>
      <c r="W46" s="6"/>
      <c r="X46" s="6"/>
      <c r="Y46" s="6"/>
      <c r="Z46" s="6"/>
    </row>
    <row r="47" spans="1:26" ht="15" hidden="1" customHeight="1">
      <c r="A47" s="483" t="s">
        <v>32</v>
      </c>
      <c r="S47" s="6"/>
      <c r="T47" s="6"/>
      <c r="U47" s="6"/>
      <c r="V47" s="6"/>
      <c r="W47" s="6"/>
      <c r="X47" s="6"/>
      <c r="Y47" s="6"/>
      <c r="Z47" s="6"/>
    </row>
    <row r="48" spans="1:26" ht="29.25" hidden="1" customHeight="1">
      <c r="A48" s="483" t="s">
        <v>33</v>
      </c>
      <c r="S48" s="6"/>
      <c r="T48" s="6"/>
      <c r="U48" s="6"/>
      <c r="V48" s="6"/>
      <c r="W48" s="6"/>
      <c r="X48" s="6"/>
      <c r="Y48" s="6"/>
      <c r="Z48" s="6"/>
    </row>
    <row r="49" spans="1:26">
      <c r="S49" s="6"/>
      <c r="T49" s="6"/>
      <c r="U49" s="6"/>
      <c r="V49" s="6"/>
      <c r="W49" s="6"/>
      <c r="X49" s="6"/>
      <c r="Y49" s="6"/>
      <c r="Z49" s="6"/>
    </row>
    <row r="50" spans="1:26">
      <c r="A50" s="484" t="s">
        <v>1242</v>
      </c>
      <c r="S50" s="6"/>
      <c r="T50" s="6"/>
      <c r="U50" s="6"/>
      <c r="V50" s="6"/>
      <c r="W50" s="6"/>
      <c r="X50" s="6"/>
      <c r="Y50" s="6"/>
      <c r="Z50" s="6"/>
    </row>
    <row r="51" spans="1:26" ht="30">
      <c r="A51" s="3" t="s">
        <v>34</v>
      </c>
      <c r="S51" s="6"/>
      <c r="T51" s="6"/>
      <c r="U51" s="6"/>
      <c r="V51" s="6"/>
      <c r="W51" s="6"/>
      <c r="X51" s="6"/>
      <c r="Y51" s="6"/>
      <c r="Z51" s="6"/>
    </row>
    <row r="52" spans="1:26">
      <c r="A52" s="3" t="s">
        <v>35</v>
      </c>
      <c r="S52" s="6"/>
      <c r="T52" s="6"/>
      <c r="U52" s="6"/>
      <c r="V52" s="6"/>
      <c r="W52" s="6"/>
      <c r="X52" s="6"/>
      <c r="Y52" s="6"/>
      <c r="Z52" s="6"/>
    </row>
    <row r="53" spans="1:26" ht="30.75" hidden="1" customHeight="1">
      <c r="A53" s="2" t="s">
        <v>36</v>
      </c>
      <c r="S53" s="6"/>
      <c r="T53" s="6"/>
      <c r="U53" s="6"/>
      <c r="V53" s="6"/>
      <c r="W53" s="6"/>
      <c r="X53" s="6"/>
      <c r="Y53" s="6"/>
      <c r="Z53" s="6"/>
    </row>
    <row r="54" spans="1:26" ht="30" hidden="1">
      <c r="A54" s="2" t="s">
        <v>37</v>
      </c>
      <c r="S54" s="6"/>
      <c r="T54" s="6"/>
      <c r="U54" s="6"/>
      <c r="V54" s="6"/>
      <c r="W54" s="6"/>
      <c r="X54" s="6"/>
      <c r="Y54" s="6"/>
      <c r="Z54" s="6"/>
    </row>
    <row r="55" spans="1:26">
      <c r="A55" s="2" t="s">
        <v>1243</v>
      </c>
      <c r="S55" s="6"/>
      <c r="T55" s="6"/>
      <c r="U55" s="6"/>
      <c r="V55" s="6"/>
      <c r="W55" s="6"/>
      <c r="X55" s="6"/>
      <c r="Y55" s="6"/>
      <c r="Z55" s="6"/>
    </row>
    <row r="56" spans="1:26">
      <c r="S56" s="6"/>
      <c r="T56" s="6"/>
      <c r="U56" s="6"/>
      <c r="V56" s="6"/>
      <c r="W56" s="6"/>
      <c r="X56" s="6"/>
      <c r="Y56" s="6"/>
      <c r="Z56" s="6"/>
    </row>
    <row r="57" spans="1:26">
      <c r="A57" s="484" t="s">
        <v>38</v>
      </c>
      <c r="S57" s="6"/>
      <c r="T57" s="6"/>
      <c r="U57" s="6"/>
      <c r="V57" s="6"/>
      <c r="W57" s="6"/>
      <c r="X57" s="6"/>
      <c r="Y57" s="6"/>
      <c r="Z57" s="6"/>
    </row>
    <row r="58" spans="1:26">
      <c r="A58" s="3" t="s">
        <v>39</v>
      </c>
      <c r="S58" s="6"/>
      <c r="T58" s="6"/>
      <c r="U58" s="6"/>
      <c r="V58" s="6"/>
      <c r="W58" s="6"/>
      <c r="X58" s="6"/>
      <c r="Y58" s="6"/>
      <c r="Z58" s="6"/>
    </row>
    <row r="59" spans="1:26">
      <c r="A59" s="2"/>
      <c r="S59" s="6"/>
      <c r="T59" s="6"/>
      <c r="U59" s="6"/>
      <c r="V59" s="6"/>
      <c r="W59" s="6"/>
      <c r="X59" s="6"/>
      <c r="Y59" s="6"/>
      <c r="Z59" s="6"/>
    </row>
    <row r="60" spans="1:26">
      <c r="A60" s="484" t="s">
        <v>40</v>
      </c>
      <c r="S60" s="6"/>
      <c r="T60" s="6"/>
      <c r="U60" s="6"/>
      <c r="V60" s="6"/>
      <c r="W60" s="6"/>
      <c r="X60" s="6"/>
      <c r="Y60" s="6"/>
      <c r="Z60" s="6"/>
    </row>
    <row r="61" spans="1:26">
      <c r="A61" s="3" t="s">
        <v>41</v>
      </c>
      <c r="S61" s="6"/>
      <c r="T61" s="6"/>
      <c r="U61" s="6"/>
      <c r="V61" s="6"/>
      <c r="W61" s="6"/>
      <c r="X61" s="6"/>
      <c r="Y61" s="6"/>
      <c r="Z61" s="6"/>
    </row>
    <row r="62" spans="1:26" ht="15" customHeight="1">
      <c r="A62" s="3" t="s">
        <v>42</v>
      </c>
      <c r="S62" s="6"/>
      <c r="T62" s="6"/>
      <c r="U62" s="6"/>
      <c r="V62" s="6"/>
      <c r="W62" s="6"/>
      <c r="X62" s="6"/>
      <c r="Y62" s="6"/>
      <c r="Z62" s="6"/>
    </row>
    <row r="63" spans="1:26">
      <c r="S63" s="6"/>
      <c r="T63" s="6"/>
      <c r="U63" s="6"/>
      <c r="V63" s="6"/>
      <c r="W63" s="6"/>
      <c r="X63" s="6"/>
      <c r="Y63" s="6"/>
      <c r="Z63" s="6"/>
    </row>
    <row r="64" spans="1:26">
      <c r="A64" s="484" t="s">
        <v>43</v>
      </c>
    </row>
    <row r="65" spans="1:1">
      <c r="A65" s="3" t="s">
        <v>44</v>
      </c>
    </row>
    <row r="66" spans="1:1">
      <c r="A66" s="3"/>
    </row>
    <row r="67" spans="1:1">
      <c r="A67" s="484" t="s">
        <v>45</v>
      </c>
    </row>
    <row r="68" spans="1:1">
      <c r="A68" s="3" t="s">
        <v>46</v>
      </c>
    </row>
    <row r="69" spans="1:1" ht="30">
      <c r="A69" s="3" t="s">
        <v>1244</v>
      </c>
    </row>
    <row r="70" spans="1:1">
      <c r="A70" s="484" t="s">
        <v>43</v>
      </c>
    </row>
    <row r="72" spans="1:1">
      <c r="A72" s="484" t="s">
        <v>47</v>
      </c>
    </row>
    <row r="73" spans="1:1">
      <c r="A73" s="3" t="s">
        <v>1245</v>
      </c>
    </row>
    <row r="75" spans="1:1">
      <c r="A75" s="484" t="s">
        <v>1247</v>
      </c>
    </row>
    <row r="76" spans="1:1">
      <c r="A76" s="3" t="s">
        <v>48</v>
      </c>
    </row>
    <row r="78" spans="1:1">
      <c r="A78" s="484" t="s">
        <v>49</v>
      </c>
    </row>
    <row r="79" spans="1:1">
      <c r="A79" s="3" t="s">
        <v>50</v>
      </c>
    </row>
    <row r="80" spans="1:1">
      <c r="A80" s="3"/>
    </row>
    <row r="81" spans="1:1">
      <c r="A81" s="484" t="s">
        <v>51</v>
      </c>
    </row>
    <row r="82" spans="1:1">
      <c r="A82" s="3" t="s">
        <v>52</v>
      </c>
    </row>
    <row r="83" spans="1:1">
      <c r="A83" s="3"/>
    </row>
    <row r="84" spans="1:1">
      <c r="A84" s="484" t="s">
        <v>53</v>
      </c>
    </row>
    <row r="85" spans="1:1">
      <c r="A85" s="3" t="s">
        <v>54</v>
      </c>
    </row>
    <row r="86" spans="1:1">
      <c r="A86" s="3"/>
    </row>
    <row r="87" spans="1:1">
      <c r="A87" s="484" t="s">
        <v>55</v>
      </c>
    </row>
    <row r="88" spans="1:1">
      <c r="A88" s="3" t="s">
        <v>56</v>
      </c>
    </row>
    <row r="89" spans="1:1" ht="30">
      <c r="A89" s="3" t="s">
        <v>57</v>
      </c>
    </row>
    <row r="90" spans="1:1">
      <c r="A90" s="1028"/>
    </row>
    <row r="91" spans="1:1">
      <c r="A91" s="484" t="s">
        <v>58</v>
      </c>
    </row>
    <row r="94" spans="1:1">
      <c r="A94" s="637" t="s">
        <v>59</v>
      </c>
    </row>
    <row r="95" spans="1:1">
      <c r="A95" s="3" t="s">
        <v>1248</v>
      </c>
    </row>
    <row r="96" spans="1:1">
      <c r="A96" s="3" t="s">
        <v>60</v>
      </c>
    </row>
  </sheetData>
  <sheetProtection algorithmName="SHA-512" hashValue="N8GguaMxkUFlDN3HX2U8TiB5ee2Dm/sdwuvE6C0c/CQ1Sku/bbiuBhOXtyfBUcbBtzMGrZ3DwpbIo8HLHovwAA==" saltValue="JeIzyMQq3TnTAoeRM19I8g==" spinCount="100000" sheet="1" objects="1" scenarios="1"/>
  <hyperlinks>
    <hyperlink ref="A5" location="HypLink1" display="HypLink1"/>
  </hyperlinks>
  <pageMargins left="0.35" right="0.25" top="0.32" bottom="0.5" header="0.32" footer="0.3"/>
  <pageSetup orientation="portrait" r:id="rId1"/>
  <headerFooter>
    <oddFooter>&amp;L&amp;7&amp;D  at &amp;T Mike 702.854.0691&amp;C&amp;7Page &amp;P of &amp;N&amp;R&amp;7&amp;F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A1:G28"/>
  <sheetViews>
    <sheetView workbookViewId="0">
      <selection activeCell="C27" sqref="C27"/>
    </sheetView>
  </sheetViews>
  <sheetFormatPr defaultRowHeight="15.75"/>
  <cols>
    <col min="1" max="1" width="1.28515625" style="195" customWidth="1"/>
    <col min="2" max="2" width="3.28515625" customWidth="1"/>
    <col min="3" max="3" width="19" customWidth="1"/>
    <col min="4" max="4" width="21.5703125" customWidth="1"/>
    <col min="5" max="5" width="25.42578125" customWidth="1"/>
    <col min="6" max="6" width="23.28515625" customWidth="1"/>
    <col min="7" max="7" width="14.5703125" customWidth="1"/>
  </cols>
  <sheetData>
    <row r="1" spans="1:7">
      <c r="A1" s="26" t="s">
        <v>61</v>
      </c>
      <c r="B1" s="26"/>
      <c r="C1" s="26"/>
      <c r="D1" s="26"/>
      <c r="F1" s="639" t="s">
        <v>2</v>
      </c>
    </row>
    <row r="2" spans="1:7">
      <c r="A2" s="199" t="str">
        <f>SchoolName</f>
        <v>Strong Start Academy Elementary School</v>
      </c>
      <c r="B2" s="200"/>
      <c r="C2" s="200"/>
      <c r="D2" s="200"/>
    </row>
    <row r="3" spans="1:7" ht="15">
      <c r="A3" s="196" t="s">
        <v>62</v>
      </c>
    </row>
    <row r="4" spans="1:7" ht="15">
      <c r="A4" s="197" t="s">
        <v>63</v>
      </c>
    </row>
    <row r="5" spans="1:7" ht="15">
      <c r="A5" s="198" t="str">
        <f ca="1">CELL("filename")</f>
        <v>C:\Users\rsaucedo\OneDrive - City of Las Vegas\CLV Charter School\[Strong Start Academy Elementary School Financial Workbook 2021.xlsx]Incubation</v>
      </c>
    </row>
    <row r="8" spans="1:7">
      <c r="C8" s="1813" t="s">
        <v>64</v>
      </c>
      <c r="D8" s="1813"/>
      <c r="E8" s="1813"/>
      <c r="F8" s="100"/>
      <c r="G8" s="100"/>
    </row>
    <row r="9" spans="1:7" ht="34.5">
      <c r="B9" s="741">
        <f>ROW()</f>
        <v>9</v>
      </c>
      <c r="C9" s="1875" t="s">
        <v>1270</v>
      </c>
      <c r="D9" s="1875"/>
      <c r="E9" s="1875"/>
      <c r="F9" s="1875"/>
      <c r="G9" s="1875"/>
    </row>
    <row r="10" spans="1:7">
      <c r="B10" s="741">
        <f>ROW()</f>
        <v>10</v>
      </c>
    </row>
    <row r="11" spans="1:7">
      <c r="B11" s="741">
        <f>ROW()</f>
        <v>11</v>
      </c>
      <c r="C11" s="259" t="s">
        <v>65</v>
      </c>
      <c r="E11" s="480">
        <v>2022</v>
      </c>
      <c r="F11" s="1445" t="str">
        <f>"Fiscal Year July 1, 20"&amp;RIGHT(E11,2)</f>
        <v>Fiscal Year July 1, 2022</v>
      </c>
    </row>
    <row r="12" spans="1:7">
      <c r="B12" s="741">
        <f>ROW()</f>
        <v>12</v>
      </c>
      <c r="C12" s="259" t="s">
        <v>66</v>
      </c>
      <c r="E12" s="302">
        <f>+E11+1</f>
        <v>2023</v>
      </c>
      <c r="F12" s="1445" t="str">
        <f>"aka Fiscal Year Ending (FYE) Jun 30, 20"&amp;RIGHT(E12,2)</f>
        <v>aka Fiscal Year Ending (FYE) Jun 30, 2023</v>
      </c>
    </row>
    <row r="13" spans="1:7">
      <c r="B13" s="741">
        <f>ROW()</f>
        <v>13</v>
      </c>
    </row>
    <row r="14" spans="1:7">
      <c r="B14" s="741">
        <f>ROW()</f>
        <v>14</v>
      </c>
      <c r="C14" s="1813" t="s">
        <v>67</v>
      </c>
      <c r="D14" s="1813"/>
      <c r="E14" s="99" t="s">
        <v>68</v>
      </c>
      <c r="F14" s="1877" t="s">
        <v>69</v>
      </c>
      <c r="G14" s="1877"/>
    </row>
    <row r="15" spans="1:7">
      <c r="B15" s="741">
        <f>ROW()</f>
        <v>15</v>
      </c>
      <c r="C15" s="1878" t="s">
        <v>1294</v>
      </c>
      <c r="D15" s="1878"/>
      <c r="E15" s="481" t="s">
        <v>1295</v>
      </c>
      <c r="F15" s="1879" t="s">
        <v>1299</v>
      </c>
      <c r="G15" s="1879"/>
    </row>
    <row r="16" spans="1:7">
      <c r="B16" s="741">
        <f>ROW()</f>
        <v>16</v>
      </c>
      <c r="C16" s="1880" t="s">
        <v>1297</v>
      </c>
      <c r="D16" s="1880"/>
      <c r="E16" s="481" t="s">
        <v>1296</v>
      </c>
      <c r="F16" s="1881" t="s">
        <v>1298</v>
      </c>
      <c r="G16" s="1881"/>
    </row>
    <row r="17" spans="2:7" ht="30.75" customHeight="1">
      <c r="B17" s="741">
        <f>ROW()</f>
        <v>17</v>
      </c>
      <c r="C17" s="1876" t="s">
        <v>71</v>
      </c>
      <c r="D17" s="1876"/>
      <c r="E17" s="1876"/>
      <c r="F17" s="1876"/>
      <c r="G17" s="1876"/>
    </row>
    <row r="18" spans="2:7" ht="18" customHeight="1">
      <c r="B18" s="741">
        <f>ROW()</f>
        <v>18</v>
      </c>
      <c r="C18" s="1882" t="s">
        <v>1300</v>
      </c>
      <c r="D18" s="1882"/>
      <c r="E18" s="1882"/>
      <c r="F18" s="1882"/>
      <c r="G18" s="1882"/>
    </row>
    <row r="19" spans="2:7" ht="18" customHeight="1">
      <c r="B19" s="741">
        <f>ROW()</f>
        <v>19</v>
      </c>
      <c r="C19" s="1874"/>
      <c r="D19" s="1874"/>
      <c r="E19" s="1874"/>
      <c r="F19" s="1874"/>
      <c r="G19" s="1874"/>
    </row>
    <row r="20" spans="2:7">
      <c r="B20" s="741">
        <f>ROW()</f>
        <v>20</v>
      </c>
      <c r="C20" s="147" t="s">
        <v>73</v>
      </c>
    </row>
    <row r="21" spans="2:7">
      <c r="B21" s="741">
        <f>ROW()</f>
        <v>21</v>
      </c>
      <c r="C21" s="147"/>
    </row>
    <row r="22" spans="2:7">
      <c r="B22" s="741">
        <f>ROW()</f>
        <v>22</v>
      </c>
      <c r="C22" s="86" t="s">
        <v>74</v>
      </c>
    </row>
    <row r="23" spans="2:7">
      <c r="B23" s="741">
        <f>ROW()</f>
        <v>23</v>
      </c>
      <c r="C23" s="424"/>
      <c r="D23" s="259" t="s">
        <v>75</v>
      </c>
    </row>
    <row r="24" spans="2:7">
      <c r="B24" s="741">
        <f>ROW()</f>
        <v>24</v>
      </c>
      <c r="C24" s="182"/>
      <c r="D24" s="80" t="s">
        <v>76</v>
      </c>
    </row>
    <row r="25" spans="2:7">
      <c r="B25" s="741">
        <f>ROW()</f>
        <v>25</v>
      </c>
      <c r="C25" s="424" t="s">
        <v>1318</v>
      </c>
      <c r="D25" s="80" t="s">
        <v>77</v>
      </c>
    </row>
    <row r="26" spans="2:7">
      <c r="B26" s="741">
        <f>ROW()</f>
        <v>26</v>
      </c>
      <c r="C26" s="182"/>
    </row>
    <row r="27" spans="2:7">
      <c r="B27" s="741">
        <f>ROW()</f>
        <v>27</v>
      </c>
      <c r="C27" s="424" t="s">
        <v>1318</v>
      </c>
      <c r="D27" s="80" t="s">
        <v>78</v>
      </c>
    </row>
    <row r="28" spans="2:7">
      <c r="B28" s="741">
        <f>ROW()</f>
        <v>28</v>
      </c>
    </row>
  </sheetData>
  <sheetProtection algorithmName="SHA-512" hashValue="yTq6e49oDfktU3VaNndiL7Z4rCX4fonp3psXuH7InI4rPganpjYAi3CBK0Sc7e+65zw554F+D4lNSOdoZ6bWOA==" saltValue="MgOPjuZvU4zXoUBUHQp51w==" spinCount="100000" sheet="1" objects="1" scenarios="1"/>
  <mergeCells count="9">
    <mergeCell ref="C19:G19"/>
    <mergeCell ref="C9:G9"/>
    <mergeCell ref="C17:G17"/>
    <mergeCell ref="F14:G14"/>
    <mergeCell ref="C15:D15"/>
    <mergeCell ref="F15:G15"/>
    <mergeCell ref="C16:D16"/>
    <mergeCell ref="F16:G16"/>
    <mergeCell ref="C18:G18"/>
  </mergeCells>
  <conditionalFormatting sqref="D23">
    <cfRule type="cellIs" dxfId="93" priority="9" stopIfTrue="1" operator="equal">
      <formula>0</formula>
    </cfRule>
  </conditionalFormatting>
  <conditionalFormatting sqref="C11">
    <cfRule type="cellIs" dxfId="92" priority="8" stopIfTrue="1" operator="equal">
      <formula>0</formula>
    </cfRule>
  </conditionalFormatting>
  <conditionalFormatting sqref="F1">
    <cfRule type="expression" dxfId="91" priority="3" stopIfTrue="1">
      <formula>MOD(ROW(),2)=0</formula>
    </cfRule>
  </conditionalFormatting>
  <conditionalFormatting sqref="C12">
    <cfRule type="cellIs" dxfId="90" priority="1" stopIfTrue="1" operator="equal">
      <formula>0</formula>
    </cfRule>
  </conditionalFormatting>
  <hyperlinks>
    <hyperlink ref="F1" location="HypLink1" display="HypLink1"/>
  </hyperlink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59999389629810485"/>
  </sheetPr>
  <dimension ref="A1:S34"/>
  <sheetViews>
    <sheetView workbookViewId="0">
      <selection activeCell="C24" sqref="C24"/>
    </sheetView>
  </sheetViews>
  <sheetFormatPr defaultRowHeight="15.75"/>
  <cols>
    <col min="1" max="1" width="6.28515625" style="195" customWidth="1"/>
    <col min="2" max="2" width="15" style="195" customWidth="1"/>
    <col min="3" max="4" width="12.85546875" style="195" customWidth="1"/>
    <col min="10" max="10" width="14.7109375" customWidth="1"/>
    <col min="11" max="11" width="2.28515625" customWidth="1"/>
    <col min="12" max="12" width="4.85546875" customWidth="1"/>
    <col min="13" max="13" width="47.7109375" customWidth="1"/>
  </cols>
  <sheetData>
    <row r="1" spans="1:19">
      <c r="A1" s="26" t="s">
        <v>79</v>
      </c>
      <c r="B1" s="26"/>
      <c r="C1" s="26"/>
      <c r="D1" s="26"/>
      <c r="E1" s="26"/>
      <c r="F1" s="26"/>
    </row>
    <row r="2" spans="1:19">
      <c r="A2" s="199" t="str">
        <f>SchoolName</f>
        <v>Strong Start Academy Elementary School</v>
      </c>
      <c r="B2" s="199"/>
      <c r="C2" s="199"/>
      <c r="D2" s="199"/>
      <c r="E2" s="200"/>
      <c r="F2" s="200"/>
    </row>
    <row r="3" spans="1:19" ht="15">
      <c r="A3" s="581" t="s">
        <v>1</v>
      </c>
      <c r="B3" s="581"/>
      <c r="C3" s="581"/>
      <c r="D3" s="581"/>
    </row>
    <row r="4" spans="1:19" ht="15">
      <c r="A4" s="582" t="str">
        <f ca="1">CELL("filename")</f>
        <v>C:\Users\rsaucedo\OneDrive - City of Las Vegas\CLV Charter School\[Strong Start Academy Elementary School Financial Workbook 2021.xlsx]Incubation</v>
      </c>
      <c r="B4" s="582"/>
      <c r="C4" s="582"/>
      <c r="D4" s="582"/>
    </row>
    <row r="6" spans="1:19">
      <c r="C6" s="1056" t="s">
        <v>80</v>
      </c>
      <c r="D6" s="1056" t="s">
        <v>80</v>
      </c>
      <c r="E6" s="80"/>
      <c r="F6" s="80"/>
    </row>
    <row r="7" spans="1:19">
      <c r="B7" s="635"/>
      <c r="C7" s="1057" t="s">
        <v>81</v>
      </c>
      <c r="D7" s="1057" t="s">
        <v>82</v>
      </c>
      <c r="E7" s="1058" t="s">
        <v>83</v>
      </c>
      <c r="F7" s="100"/>
      <c r="G7" s="636"/>
      <c r="H7" s="636"/>
      <c r="I7" s="636"/>
      <c r="J7" s="636"/>
      <c r="M7" s="1813" t="s">
        <v>84</v>
      </c>
    </row>
    <row r="8" spans="1:19" ht="18.600000000000001" customHeight="1">
      <c r="F8" s="633"/>
      <c r="G8" s="633"/>
      <c r="H8" s="633"/>
      <c r="I8" s="634"/>
      <c r="J8" s="634"/>
      <c r="M8" s="1055"/>
      <c r="S8" s="704"/>
    </row>
    <row r="9" spans="1:19" ht="18.600000000000001" customHeight="1">
      <c r="A9" s="718">
        <f>ROW()</f>
        <v>9</v>
      </c>
      <c r="B9" s="578" t="s">
        <v>0</v>
      </c>
      <c r="C9" s="617" t="s">
        <v>85</v>
      </c>
      <c r="D9" s="617" t="s">
        <v>85</v>
      </c>
      <c r="E9" s="579" t="s">
        <v>0</v>
      </c>
      <c r="F9" s="236"/>
      <c r="G9" s="236"/>
      <c r="H9" s="236"/>
      <c r="I9" s="580"/>
      <c r="J9" s="580"/>
      <c r="M9" s="1055"/>
      <c r="S9" s="704"/>
    </row>
    <row r="10" spans="1:19" ht="18.600000000000001" customHeight="1">
      <c r="A10" s="718">
        <f>ROW()</f>
        <v>10</v>
      </c>
      <c r="B10" s="578" t="s">
        <v>86</v>
      </c>
      <c r="C10" s="1015" t="s">
        <v>1301</v>
      </c>
      <c r="D10" s="1015"/>
      <c r="E10" s="579" t="s">
        <v>87</v>
      </c>
      <c r="F10" s="236"/>
      <c r="G10" s="236"/>
      <c r="H10" s="236"/>
      <c r="I10" s="580"/>
      <c r="J10" s="580"/>
      <c r="L10" s="1387"/>
      <c r="M10" s="1055"/>
      <c r="S10" s="704"/>
    </row>
    <row r="11" spans="1:19" ht="18.600000000000001" customHeight="1">
      <c r="A11" s="718">
        <f>ROW()</f>
        <v>11</v>
      </c>
      <c r="B11" s="630" t="s">
        <v>2</v>
      </c>
      <c r="C11" s="631" t="s">
        <v>85</v>
      </c>
      <c r="D11" s="631" t="s">
        <v>85</v>
      </c>
      <c r="E11" s="632"/>
      <c r="G11" s="236"/>
      <c r="H11" s="236"/>
      <c r="I11" s="580"/>
      <c r="J11" s="580"/>
      <c r="M11" s="1055"/>
      <c r="S11" s="704"/>
    </row>
    <row r="12" spans="1:19" ht="18.600000000000001" customHeight="1">
      <c r="A12" s="718">
        <f>ROW()</f>
        <v>12</v>
      </c>
      <c r="B12" s="578" t="s">
        <v>88</v>
      </c>
      <c r="C12" s="617" t="s">
        <v>85</v>
      </c>
      <c r="D12" s="617" t="s">
        <v>85</v>
      </c>
      <c r="E12" s="579" t="s">
        <v>89</v>
      </c>
      <c r="F12" s="236"/>
      <c r="G12" s="236"/>
      <c r="H12" s="236"/>
      <c r="I12" s="580"/>
      <c r="J12" s="580"/>
      <c r="M12" s="1055"/>
      <c r="S12" s="704"/>
    </row>
    <row r="13" spans="1:19" ht="18.600000000000001" customHeight="1">
      <c r="A13" s="718">
        <f>ROW()</f>
        <v>13</v>
      </c>
      <c r="B13" s="578" t="s">
        <v>90</v>
      </c>
      <c r="C13" s="1015" t="s">
        <v>1301</v>
      </c>
      <c r="D13" s="1015"/>
      <c r="E13" s="579" t="s">
        <v>91</v>
      </c>
      <c r="F13" s="236"/>
      <c r="G13" s="236"/>
      <c r="H13" s="236"/>
      <c r="I13" s="580"/>
      <c r="J13" s="580"/>
      <c r="M13" s="1055"/>
      <c r="S13" s="704"/>
    </row>
    <row r="14" spans="1:19" ht="18.600000000000001" customHeight="1">
      <c r="A14" s="718">
        <f>ROW()</f>
        <v>14</v>
      </c>
      <c r="B14" s="578" t="s">
        <v>92</v>
      </c>
      <c r="C14" s="1015" t="s">
        <v>1301</v>
      </c>
      <c r="D14" s="1015"/>
      <c r="E14" s="579" t="s">
        <v>93</v>
      </c>
      <c r="F14" s="236"/>
      <c r="G14" s="236"/>
      <c r="H14" s="236"/>
      <c r="I14" s="580"/>
      <c r="J14" s="580"/>
      <c r="M14" s="1055"/>
      <c r="S14" s="704"/>
    </row>
    <row r="15" spans="1:19" ht="18.600000000000001" customHeight="1">
      <c r="A15" s="718">
        <f>ROW()</f>
        <v>15</v>
      </c>
      <c r="B15" s="578" t="s">
        <v>94</v>
      </c>
      <c r="C15" s="1015" t="s">
        <v>1301</v>
      </c>
      <c r="D15" s="1015"/>
      <c r="E15" s="579" t="s">
        <v>95</v>
      </c>
      <c r="F15" s="236"/>
      <c r="G15" s="236"/>
      <c r="H15" s="236"/>
      <c r="I15" s="580"/>
      <c r="J15" s="580"/>
      <c r="M15" s="1055"/>
      <c r="S15" s="704"/>
    </row>
    <row r="16" spans="1:19" ht="18.600000000000001" customHeight="1">
      <c r="A16" s="718">
        <f>ROW()</f>
        <v>16</v>
      </c>
      <c r="B16" s="578" t="s">
        <v>96</v>
      </c>
      <c r="C16" s="1015" t="s">
        <v>1301</v>
      </c>
      <c r="D16" s="1015"/>
      <c r="E16" s="579" t="s">
        <v>97</v>
      </c>
      <c r="F16" s="236"/>
      <c r="G16" s="236"/>
      <c r="H16" s="236"/>
      <c r="I16" s="580"/>
      <c r="J16" s="580"/>
      <c r="M16" s="1055"/>
      <c r="S16" s="704"/>
    </row>
    <row r="17" spans="1:19" ht="18.600000000000001" customHeight="1">
      <c r="A17" s="718">
        <f>ROW()</f>
        <v>17</v>
      </c>
      <c r="B17" s="578" t="s">
        <v>98</v>
      </c>
      <c r="C17" s="1015" t="s">
        <v>1301</v>
      </c>
      <c r="D17" s="1015"/>
      <c r="E17" s="579" t="s">
        <v>99</v>
      </c>
      <c r="F17" s="236"/>
      <c r="G17" s="236"/>
      <c r="H17" s="236"/>
      <c r="I17" s="580"/>
      <c r="J17" s="580"/>
      <c r="M17" s="1055"/>
      <c r="S17" s="704"/>
    </row>
    <row r="18" spans="1:19" ht="18.600000000000001" customHeight="1">
      <c r="A18" s="718">
        <f>ROW()</f>
        <v>18</v>
      </c>
      <c r="B18" s="578" t="s">
        <v>100</v>
      </c>
      <c r="C18" s="1015" t="s">
        <v>1301</v>
      </c>
      <c r="D18" s="1015"/>
      <c r="E18" s="579" t="s">
        <v>101</v>
      </c>
      <c r="F18" s="236"/>
      <c r="G18" s="236"/>
      <c r="H18" s="236"/>
      <c r="I18" s="580"/>
      <c r="J18" s="580"/>
      <c r="M18" s="1055"/>
      <c r="S18" s="704"/>
    </row>
    <row r="19" spans="1:19" ht="18.600000000000001" customHeight="1">
      <c r="A19" s="718">
        <f>ROW()</f>
        <v>19</v>
      </c>
      <c r="B19" s="578" t="s">
        <v>102</v>
      </c>
      <c r="C19" s="1015" t="s">
        <v>1301</v>
      </c>
      <c r="D19" s="1015"/>
      <c r="E19" s="579" t="s">
        <v>103</v>
      </c>
      <c r="F19" s="236"/>
      <c r="G19" s="236"/>
      <c r="H19" s="236"/>
      <c r="I19" s="580"/>
      <c r="J19" s="580"/>
      <c r="M19" s="1055"/>
      <c r="S19" s="704"/>
    </row>
    <row r="20" spans="1:19" ht="18.600000000000001" customHeight="1">
      <c r="A20" s="718">
        <f>ROW()</f>
        <v>20</v>
      </c>
      <c r="B20" s="578" t="s">
        <v>104</v>
      </c>
      <c r="C20" s="1015" t="s">
        <v>1301</v>
      </c>
      <c r="D20" s="1015"/>
      <c r="E20" s="579" t="s">
        <v>105</v>
      </c>
      <c r="F20" s="236"/>
      <c r="G20" s="236"/>
      <c r="H20" s="236"/>
      <c r="I20" s="580"/>
      <c r="J20" s="580"/>
      <c r="M20" s="1055"/>
      <c r="S20" s="704"/>
    </row>
    <row r="21" spans="1:19" ht="18.600000000000001" customHeight="1">
      <c r="A21" s="718">
        <f>ROW()</f>
        <v>21</v>
      </c>
      <c r="B21" s="578" t="s">
        <v>106</v>
      </c>
      <c r="C21" s="1015" t="s">
        <v>1301</v>
      </c>
      <c r="D21" s="1015"/>
      <c r="E21" s="579" t="s">
        <v>107</v>
      </c>
      <c r="F21" s="236"/>
      <c r="G21" s="236"/>
      <c r="H21" s="236"/>
      <c r="I21" s="580"/>
      <c r="J21" s="580"/>
      <c r="M21" s="1055"/>
      <c r="S21" s="704"/>
    </row>
    <row r="22" spans="1:19" ht="18.600000000000001" customHeight="1">
      <c r="A22" s="718">
        <f>ROW()</f>
        <v>22</v>
      </c>
      <c r="B22" s="578" t="s">
        <v>108</v>
      </c>
      <c r="C22" s="1015" t="s">
        <v>1319</v>
      </c>
      <c r="D22" s="1015"/>
      <c r="E22" s="579" t="s">
        <v>109</v>
      </c>
      <c r="F22" s="236"/>
      <c r="G22" s="236"/>
      <c r="H22" s="236"/>
      <c r="I22" s="580"/>
      <c r="J22" s="580"/>
      <c r="M22" s="1055"/>
      <c r="S22" s="704"/>
    </row>
    <row r="23" spans="1:19" ht="18.600000000000001" customHeight="1">
      <c r="A23" s="718">
        <f>ROW()</f>
        <v>23</v>
      </c>
      <c r="B23" s="578" t="s">
        <v>110</v>
      </c>
      <c r="C23" s="1015" t="s">
        <v>1301</v>
      </c>
      <c r="D23" s="1015"/>
      <c r="E23" s="579" t="s">
        <v>111</v>
      </c>
      <c r="F23" s="236"/>
      <c r="G23" s="236"/>
      <c r="H23" s="236"/>
      <c r="I23" s="580"/>
      <c r="J23" s="580"/>
      <c r="M23" s="1055"/>
      <c r="S23" s="704"/>
    </row>
    <row r="24" spans="1:19" ht="18.600000000000001" customHeight="1">
      <c r="A24" s="718">
        <f>ROW()</f>
        <v>24</v>
      </c>
      <c r="B24" s="578" t="s">
        <v>112</v>
      </c>
      <c r="C24" s="617" t="s">
        <v>85</v>
      </c>
      <c r="D24" s="617" t="s">
        <v>85</v>
      </c>
      <c r="E24" s="579" t="s">
        <v>113</v>
      </c>
      <c r="F24" s="236"/>
      <c r="G24" s="236"/>
      <c r="H24" s="236"/>
      <c r="I24" s="580"/>
      <c r="J24" s="580"/>
      <c r="M24" s="1055"/>
      <c r="S24" s="704"/>
    </row>
    <row r="25" spans="1:19" ht="18.600000000000001" customHeight="1">
      <c r="A25" s="718">
        <f>ROW()</f>
        <v>25</v>
      </c>
      <c r="B25" s="578" t="s">
        <v>1225</v>
      </c>
      <c r="C25" s="617" t="s">
        <v>85</v>
      </c>
      <c r="D25" s="617" t="s">
        <v>85</v>
      </c>
      <c r="E25" s="579" t="s">
        <v>114</v>
      </c>
      <c r="F25" s="236"/>
      <c r="G25" s="236"/>
      <c r="H25" s="236"/>
      <c r="I25" s="580"/>
      <c r="J25" s="580"/>
      <c r="M25" s="1055"/>
      <c r="S25" s="704"/>
    </row>
    <row r="26" spans="1:19" ht="18.600000000000001" customHeight="1">
      <c r="A26" s="718">
        <f>ROW()</f>
        <v>26</v>
      </c>
      <c r="B26" s="578" t="s">
        <v>115</v>
      </c>
      <c r="C26" s="617" t="s">
        <v>85</v>
      </c>
      <c r="D26" s="617" t="s">
        <v>85</v>
      </c>
      <c r="E26" s="579" t="s">
        <v>116</v>
      </c>
      <c r="F26" s="236"/>
      <c r="G26" s="236"/>
      <c r="H26" s="236"/>
      <c r="I26" s="580"/>
      <c r="J26" s="580"/>
      <c r="M26" s="1055"/>
      <c r="S26" s="704"/>
    </row>
    <row r="27" spans="1:19" ht="18.600000000000001" customHeight="1">
      <c r="B27" s="575"/>
      <c r="C27" s="575"/>
      <c r="D27" s="575"/>
      <c r="E27" s="577"/>
      <c r="F27" s="80"/>
      <c r="G27" s="80"/>
      <c r="H27" s="80"/>
      <c r="M27" s="1055"/>
      <c r="S27" s="704"/>
    </row>
    <row r="28" spans="1:19" ht="18.600000000000001" customHeight="1">
      <c r="B28" s="575"/>
      <c r="C28" s="575"/>
      <c r="D28" s="575"/>
      <c r="S28" s="704"/>
    </row>
    <row r="29" spans="1:19" ht="18.600000000000001" customHeight="1">
      <c r="A29" s="575"/>
      <c r="B29" s="575"/>
      <c r="C29" s="575"/>
      <c r="D29" s="575"/>
      <c r="S29" s="704"/>
    </row>
    <row r="30" spans="1:19" ht="18.600000000000001" customHeight="1">
      <c r="A30" s="576"/>
      <c r="B30" s="576"/>
      <c r="C30" s="576"/>
      <c r="D30" s="576"/>
      <c r="S30" s="704"/>
    </row>
    <row r="31" spans="1:19">
      <c r="S31" s="704"/>
    </row>
    <row r="32" spans="1:19">
      <c r="S32" s="704"/>
    </row>
    <row r="33" spans="19:19">
      <c r="S33" s="704"/>
    </row>
    <row r="34" spans="19:19">
      <c r="S34" s="704"/>
    </row>
  </sheetData>
  <sheetProtection algorithmName="SHA-512" hashValue="/ZyBGDAEQaI/YHH/EuSVjIGobc0aOcKaFkr5xFDwu/MLWkd6bAEvjaxo+hyAq61Ein8keXplTM8MKhbM/sgugA==" saltValue="Ll5uBxgaQ43X6fFzQ0CcDw==" spinCount="100000" sheet="1" objects="1" scenarios="1"/>
  <conditionalFormatting sqref="C9:D9 C24:D26 C11:D12">
    <cfRule type="cellIs" dxfId="89" priority="20" stopIfTrue="1" operator="equal">
      <formula>0</formula>
    </cfRule>
  </conditionalFormatting>
  <conditionalFormatting sqref="L10">
    <cfRule type="cellIs" dxfId="88" priority="21" stopIfTrue="1" operator="equal">
      <formula>0</formula>
    </cfRule>
  </conditionalFormatting>
  <hyperlinks>
    <hyperlink ref="B11" location="HypLink1" display="HypLink1"/>
    <hyperlink ref="B9" location="HypLink3" display="HypLink3"/>
    <hyperlink ref="B10" location="HypLink4" display="HypLink4"/>
    <hyperlink ref="B12" location="HypLink5" display="HypLink5"/>
    <hyperlink ref="B13" location="HypLink6" display="HypLink6"/>
    <hyperlink ref="B14" location="HypLink7" display="HypLink7"/>
    <hyperlink ref="B15" location="HypLink8" display="HypLink8"/>
    <hyperlink ref="B16" location="HypLink9" display="HypLink9"/>
    <hyperlink ref="B17" location="HypLink10" display="HypLink10"/>
    <hyperlink ref="B18" location="HypLink11" display="HypLink11"/>
    <hyperlink ref="B19" location="HypLink12" display="HypLink12"/>
    <hyperlink ref="B20" location="HypLink13" display="HypLink13"/>
    <hyperlink ref="B21" location="HypLink14" display="HypLink14"/>
    <hyperlink ref="B22" location="HypLink15" display="HypLink15"/>
    <hyperlink ref="B23" location="HypLink16" display="HypLink16"/>
    <hyperlink ref="B24" location="HypLink17" display="HypLink17"/>
    <hyperlink ref="B25" location="HypLink18" display="HypLink18"/>
    <hyperlink ref="B26" location="HypLink22" display="HypLink22"/>
  </hyperlinks>
  <pageMargins left="0.25" right="0.25" top="0.5" bottom="0.44999999999999996" header="0.25" footer="0.25"/>
  <pageSetup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00FF"/>
  </sheetPr>
  <dimension ref="A1:T179"/>
  <sheetViews>
    <sheetView zoomScale="90" zoomScaleNormal="90" workbookViewId="0">
      <selection activeCell="G47" sqref="G47"/>
    </sheetView>
  </sheetViews>
  <sheetFormatPr defaultColWidth="7.7109375" defaultRowHeight="15"/>
  <cols>
    <col min="1" max="1" width="4.7109375" style="80" customWidth="1"/>
    <col min="2" max="2" width="32.7109375" style="80" customWidth="1"/>
    <col min="3" max="3" width="16.85546875" style="80" bestFit="1" customWidth="1"/>
    <col min="4" max="4" width="14.5703125" style="80" bestFit="1" customWidth="1"/>
    <col min="5" max="5" width="10.5703125" style="80" bestFit="1" customWidth="1"/>
    <col min="6" max="6" width="12.7109375" style="80" bestFit="1" customWidth="1"/>
    <col min="7" max="8" width="13.42578125" style="80" bestFit="1" customWidth="1"/>
    <col min="9" max="12" width="14.5703125" style="80" bestFit="1" customWidth="1"/>
    <col min="13" max="13" width="2.5703125" style="80" customWidth="1"/>
    <col min="14" max="14" width="5.42578125" style="80" customWidth="1"/>
    <col min="15" max="15" width="55.5703125" style="80" customWidth="1"/>
    <col min="16" max="18" width="9.28515625" style="80" customWidth="1"/>
    <col min="19" max="19" width="10.5703125" style="80" bestFit="1" customWidth="1"/>
    <col min="20" max="20" width="11.85546875" style="80" bestFit="1" customWidth="1"/>
    <col min="21" max="16384" width="7.7109375" style="80"/>
  </cols>
  <sheetData>
    <row r="1" spans="1:19" ht="18.75">
      <c r="A1" s="185" t="s">
        <v>117</v>
      </c>
      <c r="B1" s="686"/>
      <c r="C1" s="641"/>
      <c r="D1" s="641"/>
      <c r="E1" s="639" t="s">
        <v>2</v>
      </c>
      <c r="F1" s="42"/>
      <c r="G1" s="42"/>
      <c r="H1" s="42"/>
      <c r="I1" s="42"/>
      <c r="J1" s="42"/>
      <c r="K1" s="642"/>
      <c r="L1" s="639"/>
      <c r="M1" s="42"/>
      <c r="P1" s="80" t="s">
        <v>118</v>
      </c>
      <c r="Q1" s="80" t="s">
        <v>118</v>
      </c>
      <c r="S1" s="547"/>
    </row>
    <row r="2" spans="1:19" ht="15.75">
      <c r="A2" s="187" t="str">
        <f>SchoolName</f>
        <v>Strong Start Academy Elementary School</v>
      </c>
      <c r="B2" s="49"/>
      <c r="C2" s="40"/>
      <c r="D2" s="40"/>
      <c r="E2" s="42"/>
      <c r="F2" s="42"/>
      <c r="G2" s="39"/>
      <c r="H2" s="42"/>
      <c r="I2" s="42"/>
      <c r="J2" s="42"/>
      <c r="K2" s="42"/>
      <c r="L2" s="42"/>
      <c r="M2" s="42"/>
      <c r="P2" s="80" t="s">
        <v>118</v>
      </c>
      <c r="Q2" s="80" t="s">
        <v>118</v>
      </c>
    </row>
    <row r="3" spans="1:19">
      <c r="A3" s="50" t="s">
        <v>1</v>
      </c>
      <c r="B3" s="42"/>
      <c r="C3" s="46"/>
      <c r="D3" s="46"/>
      <c r="E3" s="42"/>
      <c r="F3" s="42"/>
      <c r="G3" s="42"/>
      <c r="H3" s="42"/>
      <c r="I3" s="42"/>
      <c r="J3" s="42"/>
      <c r="K3" s="42"/>
      <c r="L3" s="42"/>
      <c r="M3" s="42"/>
      <c r="P3" s="80" t="s">
        <v>118</v>
      </c>
      <c r="Q3" s="80" t="s">
        <v>118</v>
      </c>
    </row>
    <row r="4" spans="1:19">
      <c r="A4" s="38" t="str">
        <f ca="1">CELL("filename")</f>
        <v>C:\Users\rsaucedo\OneDrive - City of Las Vegas\CLV Charter School\[Strong Start Academy Elementary School Financial Workbook 2021.xlsx]Incubation</v>
      </c>
      <c r="B4" s="42"/>
      <c r="C4" s="42"/>
      <c r="D4" s="42"/>
      <c r="E4" s="42"/>
      <c r="F4" s="42"/>
      <c r="G4" s="42"/>
      <c r="H4" s="42"/>
      <c r="I4" s="42"/>
      <c r="J4" s="42"/>
      <c r="K4" s="42"/>
      <c r="L4" s="42"/>
      <c r="M4" s="42"/>
      <c r="P4" s="80" t="s">
        <v>118</v>
      </c>
      <c r="Q4" s="80" t="s">
        <v>118</v>
      </c>
    </row>
    <row r="5" spans="1:19" ht="10.15" customHeight="1">
      <c r="A5" s="42"/>
      <c r="B5" s="42"/>
      <c r="C5" s="42"/>
      <c r="D5" s="42"/>
      <c r="E5" s="42"/>
      <c r="F5" s="42"/>
      <c r="G5" s="42"/>
      <c r="H5" s="42"/>
      <c r="I5" s="42"/>
      <c r="J5" s="42"/>
      <c r="K5" s="42"/>
      <c r="L5" s="42"/>
      <c r="M5" s="42"/>
      <c r="P5" s="80" t="s">
        <v>118</v>
      </c>
      <c r="Q5" s="80" t="s">
        <v>118</v>
      </c>
    </row>
    <row r="6" spans="1:19">
      <c r="A6" s="42"/>
      <c r="B6" s="39"/>
      <c r="C6" s="41"/>
      <c r="D6" s="41"/>
      <c r="E6" s="41"/>
      <c r="F6" s="1090" t="str">
        <f>' Enrol &amp; Rev'!G9</f>
        <v>SY 0/Incu</v>
      </c>
      <c r="G6" s="1091">
        <f>' Enrol &amp; Rev'!H9</f>
        <v>1</v>
      </c>
      <c r="H6" s="1091">
        <f>' Enrol &amp; Rev'!I9</f>
        <v>2</v>
      </c>
      <c r="I6" s="1091">
        <f>' Enrol &amp; Rev'!J9</f>
        <v>3</v>
      </c>
      <c r="J6" s="1091">
        <f>' Enrol &amp; Rev'!K9</f>
        <v>4</v>
      </c>
      <c r="K6" s="1091">
        <f>' Enrol &amp; Rev'!L9</f>
        <v>5</v>
      </c>
      <c r="L6" s="1823">
        <f>' Enrol &amp; Rev'!M9</f>
        <v>6</v>
      </c>
      <c r="M6" s="42"/>
      <c r="P6" s="80" t="s">
        <v>118</v>
      </c>
      <c r="Q6" s="80" t="s">
        <v>118</v>
      </c>
    </row>
    <row r="7" spans="1:19">
      <c r="A7" s="42"/>
      <c r="B7" s="39"/>
      <c r="C7" s="64" t="s">
        <v>119</v>
      </c>
      <c r="D7" s="64"/>
      <c r="E7" s="64"/>
      <c r="F7" s="1092">
        <f>' Enrol &amp; Rev'!G10</f>
        <v>2021</v>
      </c>
      <c r="G7" s="1093">
        <f>' Enrol &amp; Rev'!H10</f>
        <v>2022</v>
      </c>
      <c r="H7" s="1093">
        <f>' Enrol &amp; Rev'!I10</f>
        <v>2023</v>
      </c>
      <c r="I7" s="1093">
        <f>' Enrol &amp; Rev'!J10</f>
        <v>2024</v>
      </c>
      <c r="J7" s="1093">
        <f>' Enrol &amp; Rev'!K10</f>
        <v>2025</v>
      </c>
      <c r="K7" s="1093">
        <f>' Enrol &amp; Rev'!L10</f>
        <v>2026</v>
      </c>
      <c r="L7" s="1094">
        <f>' Enrol &amp; Rev'!M10</f>
        <v>2027</v>
      </c>
      <c r="M7" s="42"/>
      <c r="P7" s="80" t="s">
        <v>118</v>
      </c>
      <c r="Q7" s="80" t="s">
        <v>118</v>
      </c>
    </row>
    <row r="8" spans="1:19">
      <c r="A8" s="42"/>
      <c r="B8" s="571"/>
      <c r="C8" s="947"/>
      <c r="D8" s="947"/>
      <c r="E8" s="948"/>
      <c r="F8" s="1095">
        <f>' Enrol &amp; Rev'!G11</f>
        <v>2022</v>
      </c>
      <c r="G8" s="1096">
        <f>' Enrol &amp; Rev'!H11</f>
        <v>2023</v>
      </c>
      <c r="H8" s="1096">
        <f>' Enrol &amp; Rev'!I11</f>
        <v>2024</v>
      </c>
      <c r="I8" s="1096">
        <f>' Enrol &amp; Rev'!J11</f>
        <v>2025</v>
      </c>
      <c r="J8" s="1096">
        <f>' Enrol &amp; Rev'!K11</f>
        <v>2026</v>
      </c>
      <c r="K8" s="1096">
        <f>' Enrol &amp; Rev'!L11</f>
        <v>2027</v>
      </c>
      <c r="L8" s="1097">
        <f>' Enrol &amp; Rev'!M11</f>
        <v>2028</v>
      </c>
      <c r="M8" s="42"/>
      <c r="O8" s="1813" t="s">
        <v>84</v>
      </c>
      <c r="P8" s="80" t="s">
        <v>118</v>
      </c>
      <c r="Q8" s="80" t="s">
        <v>118</v>
      </c>
    </row>
    <row r="9" spans="1:19" s="84" customFormat="1">
      <c r="A9" s="742">
        <f>ROW()</f>
        <v>9</v>
      </c>
      <c r="B9" s="643" t="s">
        <v>120</v>
      </c>
      <c r="C9" s="1084">
        <f t="shared" ref="C9:C10" si="0">MAX(F9:L9)</f>
        <v>360</v>
      </c>
      <c r="D9" s="1004"/>
      <c r="E9" s="64"/>
      <c r="F9" s="949">
        <f>+F66</f>
        <v>0</v>
      </c>
      <c r="G9" s="949">
        <f t="shared" ref="G9:L9" si="1">+G66</f>
        <v>180</v>
      </c>
      <c r="H9" s="949">
        <f t="shared" si="1"/>
        <v>240</v>
      </c>
      <c r="I9" s="949">
        <f t="shared" si="1"/>
        <v>300</v>
      </c>
      <c r="J9" s="949">
        <f t="shared" si="1"/>
        <v>360</v>
      </c>
      <c r="K9" s="949">
        <f t="shared" si="1"/>
        <v>360</v>
      </c>
      <c r="L9" s="949">
        <f t="shared" si="1"/>
        <v>360</v>
      </c>
      <c r="M9" s="64"/>
      <c r="O9" s="717"/>
      <c r="P9" s="84" t="s">
        <v>118</v>
      </c>
      <c r="Q9" s="84" t="s">
        <v>118</v>
      </c>
      <c r="S9" s="80"/>
    </row>
    <row r="10" spans="1:19" s="84" customFormat="1">
      <c r="A10" s="742">
        <f>ROW()</f>
        <v>10</v>
      </c>
      <c r="B10" s="644" t="s">
        <v>121</v>
      </c>
      <c r="C10" s="1084">
        <f t="shared" si="0"/>
        <v>35</v>
      </c>
      <c r="D10" s="1004"/>
      <c r="E10" s="64"/>
      <c r="F10" s="950">
        <f>+F67</f>
        <v>0</v>
      </c>
      <c r="G10" s="950">
        <f t="shared" ref="G10:L10" si="2">+G67</f>
        <v>19</v>
      </c>
      <c r="H10" s="950">
        <f t="shared" si="2"/>
        <v>23</v>
      </c>
      <c r="I10" s="950">
        <f t="shared" si="2"/>
        <v>30</v>
      </c>
      <c r="J10" s="950">
        <f t="shared" si="2"/>
        <v>34</v>
      </c>
      <c r="K10" s="950">
        <f t="shared" si="2"/>
        <v>34</v>
      </c>
      <c r="L10" s="950">
        <f t="shared" si="2"/>
        <v>35</v>
      </c>
      <c r="M10" s="64"/>
      <c r="O10" s="541"/>
      <c r="P10" s="84" t="s">
        <v>118</v>
      </c>
      <c r="Q10" s="84" t="s">
        <v>118</v>
      </c>
      <c r="S10" s="80"/>
    </row>
    <row r="11" spans="1:19" s="84" customFormat="1">
      <c r="A11" s="742">
        <f>ROW()</f>
        <v>11</v>
      </c>
      <c r="B11" s="40"/>
      <c r="C11" s="64"/>
      <c r="D11" s="64"/>
      <c r="E11" s="64"/>
      <c r="F11" s="951"/>
      <c r="G11" s="951"/>
      <c r="H11" s="951"/>
      <c r="I11" s="951"/>
      <c r="J11" s="951"/>
      <c r="K11" s="951"/>
      <c r="L11" s="951"/>
      <c r="M11" s="64"/>
      <c r="O11" s="541"/>
      <c r="P11" s="84" t="s">
        <v>118</v>
      </c>
      <c r="Q11" s="84" t="s">
        <v>118</v>
      </c>
    </row>
    <row r="12" spans="1:19" ht="18">
      <c r="A12" s="742">
        <f>ROW()</f>
        <v>12</v>
      </c>
      <c r="B12" s="1426" t="s">
        <v>122</v>
      </c>
      <c r="C12" s="1427" t="s">
        <v>123</v>
      </c>
      <c r="D12" s="1427" t="s">
        <v>124</v>
      </c>
      <c r="E12" s="1428" t="s">
        <v>125</v>
      </c>
      <c r="F12" s="1429" t="str">
        <f t="shared" ref="F12" si="3">+F6</f>
        <v>SY 0/Incu</v>
      </c>
      <c r="G12" s="1430">
        <f>+G6</f>
        <v>1</v>
      </c>
      <c r="H12" s="1430">
        <f t="shared" ref="H12:L12" si="4">+H6</f>
        <v>2</v>
      </c>
      <c r="I12" s="1430">
        <f t="shared" si="4"/>
        <v>3</v>
      </c>
      <c r="J12" s="1430">
        <f t="shared" si="4"/>
        <v>4</v>
      </c>
      <c r="K12" s="1430">
        <f t="shared" si="4"/>
        <v>5</v>
      </c>
      <c r="L12" s="1430">
        <f t="shared" si="4"/>
        <v>6</v>
      </c>
      <c r="M12" s="645"/>
      <c r="O12" s="541"/>
      <c r="P12" s="80" t="s">
        <v>118</v>
      </c>
      <c r="Q12" s="80" t="s">
        <v>118</v>
      </c>
    </row>
    <row r="13" spans="1:19">
      <c r="A13" s="742">
        <f>ROW()</f>
        <v>13</v>
      </c>
      <c r="B13" s="42" t="s">
        <v>1226</v>
      </c>
      <c r="C13" s="1074">
        <f>SUM(F13:L13)</f>
        <v>14607873.213061679</v>
      </c>
      <c r="D13" s="1074">
        <f>AVERAGE(G13:L13)</f>
        <v>2434645.5355102797</v>
      </c>
      <c r="E13" s="1074">
        <f>IFERROR(+D13/$D$32,0)</f>
        <v>0.75908284276237603</v>
      </c>
      <c r="F13" s="953">
        <f>+' Enrol &amp; Rev'!G86</f>
        <v>0</v>
      </c>
      <c r="G13" s="953">
        <f>+' Enrol &amp; Rev'!H86</f>
        <v>1303682.094</v>
      </c>
      <c r="H13" s="953">
        <f>+' Enrol &amp; Rev'!I86</f>
        <v>1937340.3304952097</v>
      </c>
      <c r="I13" s="953">
        <f>+' Enrol &amp; Rev'!J86</f>
        <v>2436818.3390002795</v>
      </c>
      <c r="J13" s="953">
        <f>+' Enrol &amp; Rev'!K86</f>
        <v>2936296.3475053492</v>
      </c>
      <c r="K13" s="953">
        <f>+' Enrol &amp; Rev'!L86</f>
        <v>2996868.0510304193</v>
      </c>
      <c r="L13" s="953">
        <f>+' Enrol &amp; Rev'!M86</f>
        <v>2996868.0510304193</v>
      </c>
      <c r="M13" s="646"/>
      <c r="O13" s="541"/>
      <c r="P13" s="80" t="s">
        <v>118</v>
      </c>
      <c r="Q13" s="80" t="s">
        <v>118</v>
      </c>
    </row>
    <row r="14" spans="1:19">
      <c r="A14" s="742">
        <f>ROW()</f>
        <v>14</v>
      </c>
      <c r="B14" s="42" t="s">
        <v>1235</v>
      </c>
      <c r="C14" s="71">
        <f t="shared" ref="C14:C31" si="5">SUM(F14:L14)</f>
        <v>-182598.41516327098</v>
      </c>
      <c r="D14" s="71">
        <f t="shared" ref="D14:D32" si="6">AVERAGE(G14:L14)</f>
        <v>-30433.069193878498</v>
      </c>
      <c r="E14" s="647">
        <f t="shared" ref="E14:E31" si="7">IFERROR(+D14/$D$32,0)</f>
        <v>-9.4885355345297011E-3</v>
      </c>
      <c r="F14" s="952">
        <f>+' Enrol &amp; Rev'!G87</f>
        <v>0</v>
      </c>
      <c r="G14" s="952">
        <f>+' Enrol &amp; Rev'!H87</f>
        <v>-16296.026175000001</v>
      </c>
      <c r="H14" s="952">
        <f>+' Enrol &amp; Rev'!I87</f>
        <v>-24216.754131190122</v>
      </c>
      <c r="I14" s="952">
        <f>+' Enrol &amp; Rev'!J87</f>
        <v>-30460.229237503496</v>
      </c>
      <c r="J14" s="952">
        <f>+' Enrol &amp; Rev'!K87</f>
        <v>-36703.704343816869</v>
      </c>
      <c r="K14" s="952">
        <f>+' Enrol &amp; Rev'!L87</f>
        <v>-37460.850637880241</v>
      </c>
      <c r="L14" s="952">
        <f>+' Enrol &amp; Rev'!M87</f>
        <v>-37460.850637880241</v>
      </c>
      <c r="M14" s="71"/>
      <c r="O14" s="541"/>
      <c r="P14" s="80" t="s">
        <v>118</v>
      </c>
      <c r="Q14" s="80" t="s">
        <v>118</v>
      </c>
    </row>
    <row r="15" spans="1:19">
      <c r="A15" s="742">
        <f>ROW()</f>
        <v>15</v>
      </c>
      <c r="B15" s="42" t="s">
        <v>128</v>
      </c>
      <c r="C15" s="71">
        <f t="shared" si="5"/>
        <v>522488.88000000006</v>
      </c>
      <c r="D15" s="71">
        <f t="shared" si="6"/>
        <v>87081.48000000001</v>
      </c>
      <c r="E15" s="647">
        <f t="shared" si="7"/>
        <v>2.715058780682035E-2</v>
      </c>
      <c r="F15" s="952">
        <f>' Enrol &amp; Rev'!G92</f>
        <v>0</v>
      </c>
      <c r="G15" s="952">
        <f>' Enrol &amp; Rev'!H92</f>
        <v>52248.888000000014</v>
      </c>
      <c r="H15" s="952">
        <f>' Enrol &amp; Rev'!I92</f>
        <v>69665.184000000008</v>
      </c>
      <c r="I15" s="952">
        <f>' Enrol &amp; Rev'!J92</f>
        <v>87081.48000000001</v>
      </c>
      <c r="J15" s="952">
        <f>' Enrol &amp; Rev'!K92</f>
        <v>104497.77600000003</v>
      </c>
      <c r="K15" s="952">
        <f>' Enrol &amp; Rev'!L92</f>
        <v>104497.77600000003</v>
      </c>
      <c r="L15" s="952">
        <f>' Enrol &amp; Rev'!M92</f>
        <v>104497.77600000003</v>
      </c>
      <c r="M15" s="71"/>
      <c r="O15" s="541"/>
      <c r="P15" s="80" t="s">
        <v>118</v>
      </c>
      <c r="Q15" s="80" t="s">
        <v>118</v>
      </c>
    </row>
    <row r="16" spans="1:19">
      <c r="A16" s="742">
        <f>ROW()</f>
        <v>16</v>
      </c>
      <c r="B16" s="42" t="s">
        <v>129</v>
      </c>
      <c r="C16" s="71">
        <f t="shared" si="5"/>
        <v>67163.400000000009</v>
      </c>
      <c r="D16" s="71">
        <f t="shared" si="6"/>
        <v>11193.900000000001</v>
      </c>
      <c r="E16" s="647">
        <f t="shared" si="7"/>
        <v>3.4900757870762683E-3</v>
      </c>
      <c r="F16" s="952">
        <f>' Enrol &amp; Rev'!G93</f>
        <v>0</v>
      </c>
      <c r="G16" s="952">
        <f>' Enrol &amp; Rev'!H93</f>
        <v>6716.3400000000011</v>
      </c>
      <c r="H16" s="952">
        <f>' Enrol &amp; Rev'!I93</f>
        <v>8955.1200000000026</v>
      </c>
      <c r="I16" s="952">
        <f>' Enrol &amp; Rev'!J93</f>
        <v>11193.900000000001</v>
      </c>
      <c r="J16" s="952">
        <f>' Enrol &amp; Rev'!K93</f>
        <v>13432.680000000002</v>
      </c>
      <c r="K16" s="952">
        <f>' Enrol &amp; Rev'!L93</f>
        <v>13432.680000000002</v>
      </c>
      <c r="L16" s="952">
        <f>' Enrol &amp; Rev'!M93</f>
        <v>13432.680000000002</v>
      </c>
      <c r="M16" s="71"/>
      <c r="O16" s="541"/>
      <c r="P16" s="80" t="s">
        <v>118</v>
      </c>
      <c r="Q16" s="80" t="s">
        <v>118</v>
      </c>
    </row>
    <row r="17" spans="1:17">
      <c r="A17" s="742">
        <f>ROW()</f>
        <v>17</v>
      </c>
      <c r="B17" s="42" t="s">
        <v>130</v>
      </c>
      <c r="C17" s="71">
        <f t="shared" si="5"/>
        <v>97200.000000000015</v>
      </c>
      <c r="D17" s="71">
        <f t="shared" si="6"/>
        <v>16200.000000000002</v>
      </c>
      <c r="E17" s="647">
        <f t="shared" si="7"/>
        <v>5.0508962694535012E-3</v>
      </c>
      <c r="F17" s="952">
        <f>' Enrol &amp; Rev'!G94</f>
        <v>0</v>
      </c>
      <c r="G17" s="952">
        <f>' Enrol &amp; Rev'!H94</f>
        <v>9720.0000000000018</v>
      </c>
      <c r="H17" s="952">
        <f>' Enrol &amp; Rev'!I94</f>
        <v>12960.000000000002</v>
      </c>
      <c r="I17" s="952">
        <f>' Enrol &amp; Rev'!J94</f>
        <v>16200.000000000002</v>
      </c>
      <c r="J17" s="952">
        <f>' Enrol &amp; Rev'!K94</f>
        <v>19440.000000000004</v>
      </c>
      <c r="K17" s="952">
        <f>' Enrol &amp; Rev'!L94</f>
        <v>19440.000000000004</v>
      </c>
      <c r="L17" s="952">
        <f>' Enrol &amp; Rev'!M94</f>
        <v>19440.000000000004</v>
      </c>
      <c r="M17" s="71"/>
      <c r="O17" s="541"/>
      <c r="P17" s="80" t="s">
        <v>118</v>
      </c>
      <c r="Q17" s="80" t="s">
        <v>118</v>
      </c>
    </row>
    <row r="18" spans="1:17">
      <c r="A18" s="742">
        <f>ROW()</f>
        <v>18</v>
      </c>
      <c r="B18" s="42" t="s">
        <v>131</v>
      </c>
      <c r="C18" s="71">
        <f t="shared" ref="C18" si="8">SUM(F18:L18)</f>
        <v>0</v>
      </c>
      <c r="D18" s="71">
        <f t="shared" si="6"/>
        <v>0</v>
      </c>
      <c r="E18" s="647">
        <f t="shared" si="7"/>
        <v>0</v>
      </c>
      <c r="F18" s="952">
        <f>' Enrol &amp; Rev'!G95</f>
        <v>0</v>
      </c>
      <c r="G18" s="952">
        <f>' Enrol &amp; Rev'!H95</f>
        <v>0</v>
      </c>
      <c r="H18" s="952">
        <f>' Enrol &amp; Rev'!I95</f>
        <v>0</v>
      </c>
      <c r="I18" s="952">
        <f>' Enrol &amp; Rev'!J95</f>
        <v>0</v>
      </c>
      <c r="J18" s="952">
        <f>' Enrol &amp; Rev'!K95</f>
        <v>0</v>
      </c>
      <c r="K18" s="952">
        <f>' Enrol &amp; Rev'!L95</f>
        <v>0</v>
      </c>
      <c r="L18" s="952">
        <f>' Enrol &amp; Rev'!M95</f>
        <v>0</v>
      </c>
      <c r="M18" s="71"/>
      <c r="O18" s="541"/>
      <c r="P18" s="80" t="s">
        <v>118</v>
      </c>
      <c r="Q18" s="80" t="s">
        <v>118</v>
      </c>
    </row>
    <row r="19" spans="1:17">
      <c r="A19" s="742">
        <f>ROW()</f>
        <v>19</v>
      </c>
      <c r="B19" s="42" t="s">
        <v>132</v>
      </c>
      <c r="C19" s="71">
        <f t="shared" si="5"/>
        <v>244389.96000000008</v>
      </c>
      <c r="D19" s="71">
        <f t="shared" si="6"/>
        <v>40731.660000000011</v>
      </c>
      <c r="E19" s="647">
        <f t="shared" si="7"/>
        <v>1.269946849028694E-2</v>
      </c>
      <c r="F19" s="952">
        <f>' Enrol &amp; Rev'!G96</f>
        <v>0</v>
      </c>
      <c r="G19" s="952">
        <f>' Enrol &amp; Rev'!H96</f>
        <v>24438.996000000006</v>
      </c>
      <c r="H19" s="952">
        <f>' Enrol &amp; Rev'!I96</f>
        <v>32585.328000000009</v>
      </c>
      <c r="I19" s="952">
        <f>' Enrol &amp; Rev'!J96</f>
        <v>40731.660000000011</v>
      </c>
      <c r="J19" s="952">
        <f>' Enrol &amp; Rev'!K96</f>
        <v>48877.992000000013</v>
      </c>
      <c r="K19" s="952">
        <f>' Enrol &amp; Rev'!L96</f>
        <v>48877.992000000013</v>
      </c>
      <c r="L19" s="952">
        <f>' Enrol &amp; Rev'!M96</f>
        <v>48877.992000000013</v>
      </c>
      <c r="M19" s="71"/>
      <c r="O19" s="541"/>
      <c r="P19" s="80" t="s">
        <v>118</v>
      </c>
      <c r="Q19" s="80" t="s">
        <v>118</v>
      </c>
    </row>
    <row r="20" spans="1:17">
      <c r="A20" s="742">
        <f>ROW()</f>
        <v>20</v>
      </c>
      <c r="B20" s="42" t="s">
        <v>133</v>
      </c>
      <c r="C20" s="71">
        <f t="shared" si="5"/>
        <v>379225.8000000001</v>
      </c>
      <c r="D20" s="71">
        <f t="shared" si="6"/>
        <v>63204.300000000017</v>
      </c>
      <c r="E20" s="647">
        <f t="shared" si="7"/>
        <v>1.9706071795272839E-2</v>
      </c>
      <c r="F20" s="952">
        <f>' Enrol &amp; Rev'!G97</f>
        <v>0</v>
      </c>
      <c r="G20" s="952">
        <f>' Enrol &amp; Rev'!H97</f>
        <v>37922.580000000009</v>
      </c>
      <c r="H20" s="952">
        <f>' Enrol &amp; Rev'!I97</f>
        <v>50563.440000000017</v>
      </c>
      <c r="I20" s="952">
        <f>' Enrol &amp; Rev'!J97</f>
        <v>63204.300000000017</v>
      </c>
      <c r="J20" s="952">
        <f>' Enrol &amp; Rev'!K97</f>
        <v>75845.160000000018</v>
      </c>
      <c r="K20" s="952">
        <f>' Enrol &amp; Rev'!L97</f>
        <v>75845.160000000018</v>
      </c>
      <c r="L20" s="952">
        <f>' Enrol &amp; Rev'!M97</f>
        <v>75845.160000000018</v>
      </c>
      <c r="M20" s="71"/>
      <c r="O20" s="541"/>
      <c r="P20" s="80" t="s">
        <v>118</v>
      </c>
      <c r="Q20" s="80" t="s">
        <v>118</v>
      </c>
    </row>
    <row r="21" spans="1:17">
      <c r="A21" s="742">
        <f>ROW()</f>
        <v>21</v>
      </c>
      <c r="B21" s="42" t="s">
        <v>134</v>
      </c>
      <c r="C21" s="71">
        <f t="shared" si="5"/>
        <v>647999.99999999988</v>
      </c>
      <c r="D21" s="71">
        <f t="shared" si="6"/>
        <v>107999.99999999999</v>
      </c>
      <c r="E21" s="647">
        <f t="shared" si="7"/>
        <v>3.3672641796356664E-2</v>
      </c>
      <c r="F21" s="952">
        <f>' Enrol &amp; Rev'!G98</f>
        <v>0</v>
      </c>
      <c r="G21" s="952">
        <f>' Enrol &amp; Rev'!H98</f>
        <v>64799.999999999993</v>
      </c>
      <c r="H21" s="952">
        <f>' Enrol &amp; Rev'!I98</f>
        <v>86399.999999999985</v>
      </c>
      <c r="I21" s="952">
        <f>' Enrol &amp; Rev'!J98</f>
        <v>108000</v>
      </c>
      <c r="J21" s="952">
        <f>' Enrol &amp; Rev'!K98</f>
        <v>129599.99999999999</v>
      </c>
      <c r="K21" s="952">
        <f>' Enrol &amp; Rev'!L98</f>
        <v>129599.99999999999</v>
      </c>
      <c r="L21" s="952">
        <f>' Enrol &amp; Rev'!M98</f>
        <v>129599.99999999999</v>
      </c>
      <c r="M21" s="71"/>
      <c r="O21" s="541"/>
      <c r="P21" s="80" t="s">
        <v>118</v>
      </c>
      <c r="Q21" s="80" t="s">
        <v>118</v>
      </c>
    </row>
    <row r="22" spans="1:17">
      <c r="A22" s="742">
        <f>ROW()</f>
        <v>22</v>
      </c>
      <c r="B22" s="42" t="s">
        <v>135</v>
      </c>
      <c r="C22" s="71">
        <f t="shared" si="5"/>
        <v>413006.48737919994</v>
      </c>
      <c r="D22" s="71">
        <f t="shared" si="6"/>
        <v>68834.414563199985</v>
      </c>
      <c r="E22" s="647">
        <f t="shared" si="7"/>
        <v>2.1461449859708798E-2</v>
      </c>
      <c r="F22" s="952">
        <f>' Enrol &amp; Rev'!G99</f>
        <v>0</v>
      </c>
      <c r="G22" s="952">
        <f>' Enrol &amp; Rev'!H99</f>
        <v>0</v>
      </c>
      <c r="H22" s="952">
        <f>' Enrol &amp; Rev'!I99</f>
        <v>51625.810922399993</v>
      </c>
      <c r="I22" s="952">
        <f>' Enrol &amp; Rev'!J99</f>
        <v>68834.414563199985</v>
      </c>
      <c r="J22" s="952">
        <f>' Enrol &amp; Rev'!K99</f>
        <v>86043.018203999993</v>
      </c>
      <c r="K22" s="952">
        <f>' Enrol &amp; Rev'!L99</f>
        <v>103251.62184479999</v>
      </c>
      <c r="L22" s="952">
        <f>' Enrol &amp; Rev'!M99</f>
        <v>103251.62184479999</v>
      </c>
      <c r="M22" s="71"/>
      <c r="O22" s="541"/>
      <c r="P22" s="80" t="s">
        <v>118</v>
      </c>
      <c r="Q22" s="80" t="s">
        <v>118</v>
      </c>
    </row>
    <row r="23" spans="1:17">
      <c r="A23" s="742">
        <f>ROW()</f>
        <v>23</v>
      </c>
      <c r="B23" s="42" t="s">
        <v>136</v>
      </c>
      <c r="C23" s="71">
        <f t="shared" si="5"/>
        <v>0</v>
      </c>
      <c r="D23" s="71">
        <f t="shared" si="6"/>
        <v>0</v>
      </c>
      <c r="E23" s="647">
        <f t="shared" si="7"/>
        <v>0</v>
      </c>
      <c r="F23" s="952">
        <f>' Enrol &amp; Rev'!G100</f>
        <v>0</v>
      </c>
      <c r="G23" s="952">
        <f>' Enrol &amp; Rev'!H100</f>
        <v>0</v>
      </c>
      <c r="H23" s="952">
        <f>' Enrol &amp; Rev'!I100</f>
        <v>0</v>
      </c>
      <c r="I23" s="952">
        <f>' Enrol &amp; Rev'!J100</f>
        <v>0</v>
      </c>
      <c r="J23" s="952">
        <f>' Enrol &amp; Rev'!K100</f>
        <v>0</v>
      </c>
      <c r="K23" s="952">
        <f>' Enrol &amp; Rev'!L100</f>
        <v>0</v>
      </c>
      <c r="L23" s="952">
        <f>' Enrol &amp; Rev'!M100</f>
        <v>0</v>
      </c>
      <c r="M23" s="71"/>
      <c r="O23" s="541"/>
      <c r="P23" s="80" t="s">
        <v>118</v>
      </c>
      <c r="Q23" s="80" t="s">
        <v>118</v>
      </c>
    </row>
    <row r="24" spans="1:17">
      <c r="A24" s="742">
        <f>ROW()</f>
        <v>24</v>
      </c>
      <c r="B24" s="42" t="s">
        <v>137</v>
      </c>
      <c r="C24" s="71">
        <f t="shared" si="5"/>
        <v>1000000</v>
      </c>
      <c r="D24" s="71">
        <f t="shared" si="6"/>
        <v>83333.333333333328</v>
      </c>
      <c r="E24" s="647">
        <f t="shared" si="7"/>
        <v>2.5981976694719654E-2</v>
      </c>
      <c r="F24" s="952">
        <f>' Enrol &amp; Rev'!G101</f>
        <v>500000</v>
      </c>
      <c r="G24" s="952">
        <f>' Enrol &amp; Rev'!H101</f>
        <v>500000</v>
      </c>
      <c r="H24" s="952">
        <f>' Enrol &amp; Rev'!I101</f>
        <v>0</v>
      </c>
      <c r="I24" s="952">
        <f>' Enrol &amp; Rev'!J101</f>
        <v>0</v>
      </c>
      <c r="J24" s="952">
        <f>' Enrol &amp; Rev'!K101</f>
        <v>0</v>
      </c>
      <c r="K24" s="952">
        <f>' Enrol &amp; Rev'!L101</f>
        <v>0</v>
      </c>
      <c r="L24" s="952">
        <f>' Enrol &amp; Rev'!M101</f>
        <v>0</v>
      </c>
      <c r="M24" s="71"/>
      <c r="O24" s="541"/>
      <c r="P24" s="80" t="s">
        <v>118</v>
      </c>
      <c r="Q24" s="80" t="s">
        <v>118</v>
      </c>
    </row>
    <row r="25" spans="1:17">
      <c r="A25" s="742">
        <f>ROW()</f>
        <v>25</v>
      </c>
      <c r="B25" s="42" t="s">
        <v>138</v>
      </c>
      <c r="C25" s="71">
        <f t="shared" si="5"/>
        <v>0</v>
      </c>
      <c r="D25" s="71">
        <f t="shared" si="6"/>
        <v>0</v>
      </c>
      <c r="E25" s="647">
        <f t="shared" si="7"/>
        <v>0</v>
      </c>
      <c r="F25" s="952">
        <f>' Enrol &amp; Rev'!G103</f>
        <v>0</v>
      </c>
      <c r="G25" s="952">
        <f>' Enrol &amp; Rev'!H103</f>
        <v>0</v>
      </c>
      <c r="H25" s="952">
        <f>' Enrol &amp; Rev'!I103</f>
        <v>0</v>
      </c>
      <c r="I25" s="952">
        <f>' Enrol &amp; Rev'!J103</f>
        <v>0</v>
      </c>
      <c r="J25" s="952">
        <f>' Enrol &amp; Rev'!K103</f>
        <v>0</v>
      </c>
      <c r="K25" s="952">
        <f>' Enrol &amp; Rev'!L103</f>
        <v>0</v>
      </c>
      <c r="L25" s="952">
        <f>' Enrol &amp; Rev'!M103</f>
        <v>0</v>
      </c>
      <c r="M25" s="71"/>
      <c r="O25" s="541"/>
      <c r="P25" s="80" t="s">
        <v>118</v>
      </c>
      <c r="Q25" s="80" t="s">
        <v>118</v>
      </c>
    </row>
    <row r="26" spans="1:17">
      <c r="A26" s="742">
        <f>ROW()</f>
        <v>26</v>
      </c>
      <c r="B26" s="42" t="s">
        <v>139</v>
      </c>
      <c r="C26" s="71">
        <f t="shared" ref="C26" si="9">SUM(F26:L26)</f>
        <v>0</v>
      </c>
      <c r="D26" s="71">
        <f t="shared" si="6"/>
        <v>0</v>
      </c>
      <c r="E26" s="647">
        <f t="shared" si="7"/>
        <v>0</v>
      </c>
      <c r="F26" s="952">
        <f>' Enrol &amp; Rev'!G104</f>
        <v>0</v>
      </c>
      <c r="G26" s="952">
        <f>' Enrol &amp; Rev'!H104</f>
        <v>0</v>
      </c>
      <c r="H26" s="952">
        <f>' Enrol &amp; Rev'!I104</f>
        <v>0</v>
      </c>
      <c r="I26" s="952">
        <f>' Enrol &amp; Rev'!J104</f>
        <v>0</v>
      </c>
      <c r="J26" s="952">
        <f>' Enrol &amp; Rev'!K104</f>
        <v>0</v>
      </c>
      <c r="K26" s="952">
        <f>' Enrol &amp; Rev'!L104</f>
        <v>0</v>
      </c>
      <c r="L26" s="952">
        <f>' Enrol &amp; Rev'!M104</f>
        <v>0</v>
      </c>
      <c r="M26" s="71"/>
      <c r="O26" s="541"/>
      <c r="P26" s="80" t="s">
        <v>118</v>
      </c>
      <c r="Q26" s="80" t="s">
        <v>118</v>
      </c>
    </row>
    <row r="27" spans="1:17">
      <c r="A27" s="742">
        <f>ROW()</f>
        <v>27</v>
      </c>
      <c r="B27" s="46" t="s">
        <v>140</v>
      </c>
      <c r="C27" s="71">
        <f t="shared" ref="C27" si="10">SUM(F27:L27)</f>
        <v>0</v>
      </c>
      <c r="D27" s="71">
        <f t="shared" si="6"/>
        <v>0</v>
      </c>
      <c r="E27" s="647">
        <f t="shared" si="7"/>
        <v>0</v>
      </c>
      <c r="F27" s="952">
        <f>' Enrol &amp; Rev'!G105</f>
        <v>0</v>
      </c>
      <c r="G27" s="952">
        <f>' Enrol &amp; Rev'!H105</f>
        <v>0</v>
      </c>
      <c r="H27" s="952">
        <f>' Enrol &amp; Rev'!I105</f>
        <v>0</v>
      </c>
      <c r="I27" s="952">
        <f>' Enrol &amp; Rev'!J105</f>
        <v>0</v>
      </c>
      <c r="J27" s="952">
        <f>' Enrol &amp; Rev'!K105</f>
        <v>0</v>
      </c>
      <c r="K27" s="952">
        <f>' Enrol &amp; Rev'!L105</f>
        <v>0</v>
      </c>
      <c r="L27" s="952">
        <f>' Enrol &amp; Rev'!M105</f>
        <v>0</v>
      </c>
      <c r="M27" s="71"/>
      <c r="O27" s="541"/>
    </row>
    <row r="28" spans="1:17">
      <c r="A28" s="742">
        <f>ROW()</f>
        <v>28</v>
      </c>
      <c r="B28" s="42" t="s">
        <v>141</v>
      </c>
      <c r="C28" s="71">
        <f t="shared" si="5"/>
        <v>0</v>
      </c>
      <c r="D28" s="71">
        <f t="shared" si="6"/>
        <v>0</v>
      </c>
      <c r="E28" s="647">
        <f t="shared" si="7"/>
        <v>0</v>
      </c>
      <c r="F28" s="952">
        <f>' Enrol &amp; Rev'!G106</f>
        <v>0</v>
      </c>
      <c r="G28" s="952">
        <f>' Enrol &amp; Rev'!H106</f>
        <v>0</v>
      </c>
      <c r="H28" s="952">
        <f>' Enrol &amp; Rev'!I106</f>
        <v>0</v>
      </c>
      <c r="I28" s="952">
        <f>' Enrol &amp; Rev'!J106</f>
        <v>0</v>
      </c>
      <c r="J28" s="952">
        <f>' Enrol &amp; Rev'!K106</f>
        <v>0</v>
      </c>
      <c r="K28" s="952">
        <f>' Enrol &amp; Rev'!L106</f>
        <v>0</v>
      </c>
      <c r="L28" s="952">
        <f>' Enrol &amp; Rev'!M106</f>
        <v>0</v>
      </c>
      <c r="M28" s="71"/>
      <c r="O28" s="541"/>
      <c r="P28" s="80" t="s">
        <v>118</v>
      </c>
      <c r="Q28" s="80" t="s">
        <v>118</v>
      </c>
    </row>
    <row r="29" spans="1:17">
      <c r="A29" s="742">
        <f>ROW()</f>
        <v>29</v>
      </c>
      <c r="B29" s="42" t="s">
        <v>142</v>
      </c>
      <c r="C29" s="71">
        <f t="shared" si="5"/>
        <v>0</v>
      </c>
      <c r="D29" s="71">
        <f t="shared" si="6"/>
        <v>0</v>
      </c>
      <c r="E29" s="647">
        <f t="shared" si="7"/>
        <v>0</v>
      </c>
      <c r="F29" s="952">
        <f>' Enrol &amp; Rev'!G102</f>
        <v>0</v>
      </c>
      <c r="G29" s="952">
        <f>' Enrol &amp; Rev'!H102</f>
        <v>0</v>
      </c>
      <c r="H29" s="952">
        <f>' Enrol &amp; Rev'!I102</f>
        <v>0</v>
      </c>
      <c r="I29" s="952">
        <f>' Enrol &amp; Rev'!J102</f>
        <v>0</v>
      </c>
      <c r="J29" s="952">
        <f>' Enrol &amp; Rev'!K102</f>
        <v>0</v>
      </c>
      <c r="K29" s="952">
        <f>' Enrol &amp; Rev'!L102</f>
        <v>0</v>
      </c>
      <c r="L29" s="952">
        <f>' Enrol &amp; Rev'!M102</f>
        <v>0</v>
      </c>
      <c r="M29" s="71"/>
      <c r="O29" s="541"/>
      <c r="P29" s="80" t="s">
        <v>118</v>
      </c>
      <c r="Q29" s="80" t="s">
        <v>118</v>
      </c>
    </row>
    <row r="30" spans="1:17">
      <c r="A30" s="742">
        <f>ROW()</f>
        <v>30</v>
      </c>
      <c r="B30" s="42" t="s">
        <v>143</v>
      </c>
      <c r="C30" s="71">
        <f t="shared" si="5"/>
        <v>0</v>
      </c>
      <c r="D30" s="71">
        <f t="shared" si="6"/>
        <v>0</v>
      </c>
      <c r="E30" s="647">
        <f t="shared" si="7"/>
        <v>0</v>
      </c>
      <c r="F30" s="952">
        <f>' Enrol &amp; Rev'!G107</f>
        <v>0</v>
      </c>
      <c r="G30" s="952">
        <f>' Enrol &amp; Rev'!H107</f>
        <v>0</v>
      </c>
      <c r="H30" s="952">
        <f>' Enrol &amp; Rev'!I107</f>
        <v>0</v>
      </c>
      <c r="I30" s="952">
        <f>' Enrol &amp; Rev'!J107</f>
        <v>0</v>
      </c>
      <c r="J30" s="952">
        <f>' Enrol &amp; Rev'!K107</f>
        <v>0</v>
      </c>
      <c r="K30" s="952">
        <f>' Enrol &amp; Rev'!L107</f>
        <v>0</v>
      </c>
      <c r="L30" s="952">
        <f>' Enrol &amp; Rev'!M107</f>
        <v>0</v>
      </c>
      <c r="M30" s="71"/>
      <c r="O30" s="541"/>
      <c r="P30" s="80" t="s">
        <v>118</v>
      </c>
      <c r="Q30" s="80" t="s">
        <v>118</v>
      </c>
    </row>
    <row r="31" spans="1:17">
      <c r="A31" s="742">
        <f>ROW()</f>
        <v>31</v>
      </c>
      <c r="B31" s="42" t="s">
        <v>144</v>
      </c>
      <c r="C31" s="71">
        <f t="shared" si="5"/>
        <v>1947360</v>
      </c>
      <c r="D31" s="71">
        <f t="shared" si="6"/>
        <v>324560</v>
      </c>
      <c r="E31" s="647">
        <f t="shared" si="7"/>
        <v>0.10119252427245853</v>
      </c>
      <c r="F31" s="952">
        <f>' Enrol &amp; Rev'!G108</f>
        <v>0</v>
      </c>
      <c r="G31" s="952">
        <f>' Enrol &amp; Rev'!H108</f>
        <v>265330</v>
      </c>
      <c r="H31" s="952">
        <f>' Enrol &amp; Rev'!I108</f>
        <v>292325</v>
      </c>
      <c r="I31" s="952">
        <f>' Enrol &amp; Rev'!J108</f>
        <v>320398</v>
      </c>
      <c r="J31" s="952">
        <f>' Enrol &amp; Rev'!K108</f>
        <v>349597</v>
      </c>
      <c r="K31" s="952">
        <f>' Enrol &amp; Rev'!L108</f>
        <v>356368</v>
      </c>
      <c r="L31" s="952">
        <f>' Enrol &amp; Rev'!M108</f>
        <v>363342</v>
      </c>
      <c r="M31" s="71"/>
      <c r="O31" s="541"/>
      <c r="P31" s="80" t="s">
        <v>118</v>
      </c>
      <c r="Q31" s="80" t="s">
        <v>118</v>
      </c>
    </row>
    <row r="32" spans="1:17">
      <c r="A32" s="742">
        <f>ROW()</f>
        <v>32</v>
      </c>
      <c r="B32" s="1294" t="s">
        <v>145</v>
      </c>
      <c r="C32" s="1073">
        <f>SUM(C13:C31)</f>
        <v>19744109.325277612</v>
      </c>
      <c r="D32" s="1073">
        <f t="shared" si="6"/>
        <v>3207351.5542129348</v>
      </c>
      <c r="E32" s="1030">
        <f>IFERROR(+D32/$D$32,0)</f>
        <v>1</v>
      </c>
      <c r="F32" s="1824">
        <f t="shared" ref="F32:L32" si="11">SUM(F13:F31)</f>
        <v>500000</v>
      </c>
      <c r="G32" s="1824">
        <f t="shared" si="11"/>
        <v>2248562.8718250003</v>
      </c>
      <c r="H32" s="1824">
        <f t="shared" si="11"/>
        <v>2518203.4592864197</v>
      </c>
      <c r="I32" s="1824">
        <f t="shared" si="11"/>
        <v>3122001.864325976</v>
      </c>
      <c r="J32" s="1824">
        <f t="shared" si="11"/>
        <v>3726926.2693655328</v>
      </c>
      <c r="K32" s="1824">
        <f t="shared" si="11"/>
        <v>3810720.4302373398</v>
      </c>
      <c r="L32" s="1824">
        <f t="shared" si="11"/>
        <v>3817694.4302373398</v>
      </c>
      <c r="M32" s="1825"/>
      <c r="O32" s="541"/>
      <c r="P32" s="80" t="s">
        <v>118</v>
      </c>
      <c r="Q32" s="80" t="s">
        <v>118</v>
      </c>
    </row>
    <row r="33" spans="1:20">
      <c r="A33" s="742">
        <f>ROW()</f>
        <v>33</v>
      </c>
      <c r="B33" s="1788" t="s">
        <v>146</v>
      </c>
      <c r="C33" s="1789"/>
      <c r="D33" s="1789"/>
      <c r="E33" s="1790"/>
      <c r="F33" s="1791"/>
      <c r="G33" s="1791">
        <f>+' Enrol &amp; Rev'!H110</f>
        <v>12492.015954583334</v>
      </c>
      <c r="H33" s="1791">
        <f>+' Enrol &amp; Rev'!I110</f>
        <v>10492.514413693416</v>
      </c>
      <c r="I33" s="1791">
        <f>+' Enrol &amp; Rev'!J110</f>
        <v>10406.672881086586</v>
      </c>
      <c r="J33" s="1791">
        <f>+' Enrol &amp; Rev'!K110</f>
        <v>10352.572970459812</v>
      </c>
      <c r="K33" s="1791">
        <f>+' Enrol &amp; Rev'!L110</f>
        <v>10585.334528437055</v>
      </c>
      <c r="L33" s="1791">
        <f>+' Enrol &amp; Rev'!M110</f>
        <v>10604.706750659278</v>
      </c>
      <c r="M33" s="648"/>
      <c r="O33" s="541"/>
      <c r="P33" s="80" t="s">
        <v>118</v>
      </c>
      <c r="Q33" s="80" t="s">
        <v>118</v>
      </c>
    </row>
    <row r="34" spans="1:20">
      <c r="A34" s="742">
        <f>ROW()</f>
        <v>34</v>
      </c>
      <c r="B34" s="42"/>
      <c r="C34" s="494"/>
      <c r="D34" s="494"/>
      <c r="E34" s="494"/>
      <c r="F34" s="782"/>
      <c r="G34" s="782"/>
      <c r="H34" s="782"/>
      <c r="I34" s="782"/>
      <c r="J34" s="782"/>
      <c r="K34" s="782"/>
      <c r="L34" s="782"/>
      <c r="M34" s="494"/>
      <c r="O34" s="541"/>
      <c r="P34" s="80" t="s">
        <v>118</v>
      </c>
      <c r="Q34" s="80" t="s">
        <v>118</v>
      </c>
    </row>
    <row r="35" spans="1:20" ht="18">
      <c r="A35" s="742">
        <f>ROW()</f>
        <v>35</v>
      </c>
      <c r="B35" s="1421" t="s">
        <v>147</v>
      </c>
      <c r="C35" s="1422" t="s">
        <v>123</v>
      </c>
      <c r="D35" s="1422" t="s">
        <v>124</v>
      </c>
      <c r="E35" s="1423" t="s">
        <v>125</v>
      </c>
      <c r="F35" s="1424" t="str">
        <f t="shared" ref="F35:L35" si="12">F6</f>
        <v>SY 0/Incu</v>
      </c>
      <c r="G35" s="1425">
        <f t="shared" si="12"/>
        <v>1</v>
      </c>
      <c r="H35" s="1425">
        <f t="shared" si="12"/>
        <v>2</v>
      </c>
      <c r="I35" s="1425">
        <f t="shared" si="12"/>
        <v>3</v>
      </c>
      <c r="J35" s="1425">
        <f t="shared" si="12"/>
        <v>4</v>
      </c>
      <c r="K35" s="1425">
        <f t="shared" si="12"/>
        <v>5</v>
      </c>
      <c r="L35" s="1425">
        <f t="shared" si="12"/>
        <v>6</v>
      </c>
      <c r="M35" s="494"/>
      <c r="O35" s="541"/>
      <c r="P35" s="80" t="s">
        <v>118</v>
      </c>
      <c r="Q35" s="80" t="s">
        <v>118</v>
      </c>
    </row>
    <row r="36" spans="1:20">
      <c r="A36" s="742">
        <f>ROW()</f>
        <v>36</v>
      </c>
      <c r="B36" s="42" t="s">
        <v>148</v>
      </c>
      <c r="C36" s="1074">
        <f t="shared" ref="C36" si="13">SUM(F36:L36)</f>
        <v>11583633.345518358</v>
      </c>
      <c r="D36" s="1074">
        <f t="shared" ref="D36:D47" si="14">AVERAGE(G36:L36)</f>
        <v>1930605.5575863931</v>
      </c>
      <c r="E36" s="647">
        <f>IFERROR(+D36/$D$32,0)</f>
        <v>0.6019313832468709</v>
      </c>
      <c r="F36" s="953">
        <f>+Staff!G445</f>
        <v>0</v>
      </c>
      <c r="G36" s="953">
        <f>+Staff!H445</f>
        <v>1274860.1599999999</v>
      </c>
      <c r="H36" s="953">
        <f>+Staff!I445</f>
        <v>1539750.496</v>
      </c>
      <c r="I36" s="953">
        <f>+Staff!J445</f>
        <v>1990103.3996000001</v>
      </c>
      <c r="J36" s="953">
        <f>+Staff!K445</f>
        <v>2255854.3069887999</v>
      </c>
      <c r="K36" s="953">
        <f>+Staff!L445</f>
        <v>2257382.7461586879</v>
      </c>
      <c r="L36" s="953">
        <f>+Staff!M445</f>
        <v>2265682.2367708711</v>
      </c>
      <c r="M36" s="493"/>
      <c r="O36" s="541"/>
      <c r="P36" s="80" t="s">
        <v>118</v>
      </c>
      <c r="Q36" s="80" t="s">
        <v>118</v>
      </c>
    </row>
    <row r="37" spans="1:20">
      <c r="A37" s="742">
        <f>ROW()</f>
        <v>37</v>
      </c>
      <c r="B37" s="42" t="s">
        <v>98</v>
      </c>
      <c r="C37" s="419">
        <f t="shared" ref="C37:C44" si="15">SUM(F37:L37)</f>
        <v>1749364.7947754145</v>
      </c>
      <c r="D37" s="419">
        <f t="shared" si="14"/>
        <v>291560.79912923573</v>
      </c>
      <c r="E37" s="647">
        <f t="shared" ref="E37:E44" si="16">IFERROR(+D37/$D$32,0)</f>
        <v>9.0903910656835701E-2</v>
      </c>
      <c r="F37" s="954">
        <f>Facilities!F70</f>
        <v>0</v>
      </c>
      <c r="G37" s="954">
        <f>Facilities!G70</f>
        <v>232331.30000000002</v>
      </c>
      <c r="H37" s="954">
        <f>Facilities!H70</f>
        <v>259325.27600000001</v>
      </c>
      <c r="I37" s="954">
        <f>Facilities!I70</f>
        <v>287398.72928000003</v>
      </c>
      <c r="J37" s="954">
        <f>Facilities!J70</f>
        <v>316598.0603984</v>
      </c>
      <c r="K37" s="954">
        <f>Facilities!K70</f>
        <v>323368.789210352</v>
      </c>
      <c r="L37" s="954">
        <f>Facilities!L70</f>
        <v>330342.6398866626</v>
      </c>
      <c r="M37" s="493"/>
      <c r="O37" s="541"/>
      <c r="P37" s="80" t="s">
        <v>118</v>
      </c>
      <c r="Q37" s="80" t="s">
        <v>118</v>
      </c>
    </row>
    <row r="38" spans="1:20">
      <c r="A38" s="742">
        <f>ROW()</f>
        <v>38</v>
      </c>
      <c r="B38" s="42" t="s">
        <v>149</v>
      </c>
      <c r="C38" s="72">
        <f t="shared" si="15"/>
        <v>2648673.6903350758</v>
      </c>
      <c r="D38" s="72">
        <f t="shared" si="14"/>
        <v>441445.61505584599</v>
      </c>
      <c r="E38" s="647">
        <f t="shared" si="16"/>
        <v>0.13763555618840609</v>
      </c>
      <c r="F38" s="952">
        <f>+'Gen Optg'!F163</f>
        <v>0</v>
      </c>
      <c r="G38" s="952">
        <f>+'Gen Optg'!G163</f>
        <v>319978.77</v>
      </c>
      <c r="H38" s="952">
        <f>+'Gen Optg'!H163</f>
        <v>407353.77299999999</v>
      </c>
      <c r="I38" s="952">
        <f>+'Gen Optg'!I163</f>
        <v>514760.74243300001</v>
      </c>
      <c r="J38" s="952">
        <f>+'Gen Optg'!J163</f>
        <v>450240.10303632496</v>
      </c>
      <c r="K38" s="952">
        <f>+'Gen Optg'!K163</f>
        <v>474452.82543950103</v>
      </c>
      <c r="L38" s="952">
        <f>+'Gen Optg'!L163</f>
        <v>481887.47642624995</v>
      </c>
      <c r="M38" s="493"/>
      <c r="O38" s="541"/>
      <c r="P38" s="80" t="s">
        <v>118</v>
      </c>
      <c r="Q38" s="80" t="s">
        <v>118</v>
      </c>
    </row>
    <row r="39" spans="1:20">
      <c r="A39" s="742">
        <f>ROW()</f>
        <v>39</v>
      </c>
      <c r="B39" s="42" t="s">
        <v>150</v>
      </c>
      <c r="C39" s="72">
        <f t="shared" si="15"/>
        <v>0</v>
      </c>
      <c r="D39" s="72">
        <f t="shared" si="14"/>
        <v>0</v>
      </c>
      <c r="E39" s="647">
        <f t="shared" si="16"/>
        <v>0</v>
      </c>
      <c r="F39" s="952">
        <f>'EMO-CMO'!E38</f>
        <v>0</v>
      </c>
      <c r="G39" s="952">
        <f>'EMO-CMO'!F38</f>
        <v>0</v>
      </c>
      <c r="H39" s="952">
        <f>'EMO-CMO'!G38</f>
        <v>0</v>
      </c>
      <c r="I39" s="952">
        <f>'EMO-CMO'!H38</f>
        <v>0</v>
      </c>
      <c r="J39" s="952">
        <f>'EMO-CMO'!I38</f>
        <v>0</v>
      </c>
      <c r="K39" s="952">
        <f>'EMO-CMO'!J38</f>
        <v>0</v>
      </c>
      <c r="L39" s="952">
        <f>'EMO-CMO'!K38</f>
        <v>0</v>
      </c>
      <c r="M39" s="71"/>
      <c r="O39" s="541"/>
      <c r="P39" s="80" t="s">
        <v>118</v>
      </c>
      <c r="Q39" s="80" t="s">
        <v>118</v>
      </c>
    </row>
    <row r="40" spans="1:20">
      <c r="A40" s="742">
        <f>ROW()</f>
        <v>40</v>
      </c>
      <c r="B40" s="42" t="s">
        <v>104</v>
      </c>
      <c r="C40" s="72">
        <f t="shared" si="15"/>
        <v>15000</v>
      </c>
      <c r="D40" s="72">
        <f t="shared" si="14"/>
        <v>1666.6666666666667</v>
      </c>
      <c r="E40" s="647">
        <f t="shared" si="16"/>
        <v>5.1963953389439312E-4</v>
      </c>
      <c r="F40" s="952">
        <f>Marketing!H44</f>
        <v>5000</v>
      </c>
      <c r="G40" s="952">
        <f>Marketing!I44</f>
        <v>2000</v>
      </c>
      <c r="H40" s="952">
        <f>Marketing!J44</f>
        <v>2000</v>
      </c>
      <c r="I40" s="952">
        <f>Marketing!K44</f>
        <v>2000</v>
      </c>
      <c r="J40" s="952">
        <f>Marketing!L44</f>
        <v>2000</v>
      </c>
      <c r="K40" s="952">
        <f>Marketing!M44</f>
        <v>2000</v>
      </c>
      <c r="L40" s="952">
        <f>Marketing!N44</f>
        <v>0</v>
      </c>
      <c r="M40" s="74"/>
      <c r="O40" s="541"/>
      <c r="P40" s="80" t="s">
        <v>118</v>
      </c>
      <c r="Q40" s="80" t="s">
        <v>118</v>
      </c>
    </row>
    <row r="41" spans="1:20">
      <c r="A41" s="742">
        <f>ROW()</f>
        <v>41</v>
      </c>
      <c r="B41" s="42" t="s">
        <v>100</v>
      </c>
      <c r="C41" s="419">
        <f t="shared" si="15"/>
        <v>869297</v>
      </c>
      <c r="D41" s="419">
        <f t="shared" si="14"/>
        <v>144882.83333333334</v>
      </c>
      <c r="E41" s="647">
        <f t="shared" si="16"/>
        <v>4.5172108789579425E-2</v>
      </c>
      <c r="F41" s="954">
        <f>'FFE&amp;T'!F38</f>
        <v>0</v>
      </c>
      <c r="G41" s="954">
        <f>'FFE&amp;T'!G38</f>
        <v>230980</v>
      </c>
      <c r="H41" s="954">
        <f>'FFE&amp;T'!H38</f>
        <v>128482</v>
      </c>
      <c r="I41" s="954">
        <f>'FFE&amp;T'!I38</f>
        <v>144112</v>
      </c>
      <c r="J41" s="954">
        <f>'FFE&amp;T'!J38</f>
        <v>162997</v>
      </c>
      <c r="K41" s="954">
        <f>'FFE&amp;T'!K38</f>
        <v>100668</v>
      </c>
      <c r="L41" s="954">
        <f>'FFE&amp;T'!L38</f>
        <v>102058</v>
      </c>
      <c r="M41" s="74"/>
      <c r="O41" s="541"/>
      <c r="P41" s="80" t="s">
        <v>118</v>
      </c>
      <c r="Q41" s="80" t="s">
        <v>118</v>
      </c>
    </row>
    <row r="42" spans="1:20">
      <c r="A42" s="742">
        <f>ROW()</f>
        <v>42</v>
      </c>
      <c r="B42" s="42" t="s">
        <v>140</v>
      </c>
      <c r="C42" s="419">
        <f t="shared" si="15"/>
        <v>0</v>
      </c>
      <c r="D42" s="419">
        <f t="shared" si="14"/>
        <v>0</v>
      </c>
      <c r="E42" s="647">
        <f t="shared" si="16"/>
        <v>0</v>
      </c>
      <c r="F42" s="954">
        <f>+'Gen Optg'!F144</f>
        <v>0</v>
      </c>
      <c r="G42" s="954">
        <f>+'Gen Optg'!G144</f>
        <v>0</v>
      </c>
      <c r="H42" s="954">
        <f>+'Gen Optg'!H144</f>
        <v>0</v>
      </c>
      <c r="I42" s="954">
        <f>+'Gen Optg'!I144</f>
        <v>0</v>
      </c>
      <c r="J42" s="954">
        <f>+'Gen Optg'!J144</f>
        <v>0</v>
      </c>
      <c r="K42" s="954">
        <f>+'Gen Optg'!K144</f>
        <v>0</v>
      </c>
      <c r="L42" s="954">
        <f>+'Gen Optg'!L144</f>
        <v>0</v>
      </c>
      <c r="M42" s="74"/>
      <c r="O42" s="541"/>
      <c r="P42" s="80" t="s">
        <v>118</v>
      </c>
      <c r="Q42" s="80" t="s">
        <v>118</v>
      </c>
    </row>
    <row r="43" spans="1:20">
      <c r="A43" s="742">
        <f>ROW()</f>
        <v>43</v>
      </c>
      <c r="B43" s="42" t="s">
        <v>151</v>
      </c>
      <c r="C43" s="419">
        <f t="shared" si="15"/>
        <v>149120.95167198565</v>
      </c>
      <c r="D43" s="419">
        <f t="shared" si="14"/>
        <v>24853.491945330941</v>
      </c>
      <c r="E43" s="647">
        <f t="shared" si="16"/>
        <v>7.748914182071894E-3</v>
      </c>
      <c r="F43" s="954">
        <f>Ins!F50</f>
        <v>0</v>
      </c>
      <c r="G43" s="954">
        <f>Ins!G50</f>
        <v>23639.52</v>
      </c>
      <c r="H43" s="954">
        <f>Ins!H50</f>
        <v>24112.310399999998</v>
      </c>
      <c r="I43" s="954">
        <f>Ins!I50</f>
        <v>24594.556607999999</v>
      </c>
      <c r="J43" s="954">
        <f>Ins!J50</f>
        <v>25086.447740159998</v>
      </c>
      <c r="K43" s="954">
        <f>Ins!K50</f>
        <v>25588.1766949632</v>
      </c>
      <c r="L43" s="954">
        <f>Ins!L50</f>
        <v>26099.940228862466</v>
      </c>
      <c r="M43" s="74"/>
      <c r="O43" s="541"/>
      <c r="P43" s="80" t="s">
        <v>118</v>
      </c>
      <c r="Q43" s="80" t="s">
        <v>118</v>
      </c>
    </row>
    <row r="44" spans="1:20">
      <c r="A44" s="742">
        <f>ROW()</f>
        <v>44</v>
      </c>
      <c r="B44" s="42" t="s">
        <v>1246</v>
      </c>
      <c r="C44" s="419">
        <f t="shared" si="15"/>
        <v>55000</v>
      </c>
      <c r="D44" s="419">
        <f t="shared" si="14"/>
        <v>0</v>
      </c>
      <c r="E44" s="647">
        <f t="shared" si="16"/>
        <v>0</v>
      </c>
      <c r="F44" s="954">
        <f>+Incubation!E28</f>
        <v>55000</v>
      </c>
      <c r="G44" s="1873">
        <v>0</v>
      </c>
      <c r="H44" s="1873">
        <v>0</v>
      </c>
      <c r="I44" s="1873">
        <v>0</v>
      </c>
      <c r="J44" s="1873">
        <v>0</v>
      </c>
      <c r="K44" s="1873">
        <v>0</v>
      </c>
      <c r="L44" s="1873">
        <v>0</v>
      </c>
      <c r="M44" s="74"/>
      <c r="O44" s="541"/>
      <c r="P44" s="80" t="s">
        <v>118</v>
      </c>
      <c r="Q44" s="80" t="s">
        <v>118</v>
      </c>
    </row>
    <row r="45" spans="1:20">
      <c r="A45" s="742">
        <f>ROW()</f>
        <v>45</v>
      </c>
      <c r="B45" s="1294" t="s">
        <v>152</v>
      </c>
      <c r="C45" s="1073">
        <f>SUM(C36:C44)</f>
        <v>17070089.782300834</v>
      </c>
      <c r="D45" s="1073">
        <f t="shared" si="14"/>
        <v>2835014.9637168054</v>
      </c>
      <c r="E45" s="1030">
        <f>IFERROR(+D45/$D$32,0)</f>
        <v>0.88391151259765832</v>
      </c>
      <c r="F45" s="1824">
        <f t="shared" ref="F45:L45" si="17">SUM(F36:F44)</f>
        <v>60000</v>
      </c>
      <c r="G45" s="1824">
        <f t="shared" si="17"/>
        <v>2083789.75</v>
      </c>
      <c r="H45" s="1824">
        <f t="shared" si="17"/>
        <v>2361023.8553999998</v>
      </c>
      <c r="I45" s="1824">
        <f t="shared" si="17"/>
        <v>2962969.4279209999</v>
      </c>
      <c r="J45" s="1824">
        <f t="shared" si="17"/>
        <v>3212775.9181636847</v>
      </c>
      <c r="K45" s="1824">
        <f t="shared" si="17"/>
        <v>3183460.5375035042</v>
      </c>
      <c r="L45" s="1824">
        <f t="shared" si="17"/>
        <v>3206070.293312646</v>
      </c>
      <c r="M45" s="92"/>
      <c r="O45" s="541"/>
      <c r="P45" s="80" t="s">
        <v>118</v>
      </c>
      <c r="Q45" s="80" t="s">
        <v>118</v>
      </c>
    </row>
    <row r="46" spans="1:20" ht="15.75" thickBot="1">
      <c r="A46" s="742">
        <f>ROW()</f>
        <v>46</v>
      </c>
      <c r="B46" s="39"/>
      <c r="C46" s="651"/>
      <c r="D46" s="651"/>
      <c r="E46" s="652"/>
      <c r="F46" s="955"/>
      <c r="G46" s="955"/>
      <c r="H46" s="955"/>
      <c r="I46" s="955"/>
      <c r="J46" s="955"/>
      <c r="K46" s="955"/>
      <c r="L46" s="955"/>
      <c r="M46" s="92"/>
      <c r="O46" s="541"/>
      <c r="P46" s="80" t="s">
        <v>118</v>
      </c>
      <c r="Q46" s="80" t="s">
        <v>118</v>
      </c>
    </row>
    <row r="47" spans="1:20" ht="15.75" thickBot="1">
      <c r="A47" s="742">
        <f>ROW()</f>
        <v>47</v>
      </c>
      <c r="B47" s="653" t="s">
        <v>153</v>
      </c>
      <c r="C47" s="502">
        <f>C32-C45</f>
        <v>2674019.542976778</v>
      </c>
      <c r="D47" s="502">
        <f t="shared" si="14"/>
        <v>372336.59049612895</v>
      </c>
      <c r="E47" s="654">
        <f>IFERROR(+D47/$D$32,0)</f>
        <v>0.11608848740234157</v>
      </c>
      <c r="F47" s="956">
        <f t="shared" ref="F47:L47" si="18">F32-F45</f>
        <v>440000</v>
      </c>
      <c r="G47" s="956">
        <f t="shared" si="18"/>
        <v>164773.12182500027</v>
      </c>
      <c r="H47" s="956">
        <f t="shared" si="18"/>
        <v>157179.60388641991</v>
      </c>
      <c r="I47" s="956">
        <f t="shared" si="18"/>
        <v>159032.43640497606</v>
      </c>
      <c r="J47" s="956">
        <f t="shared" si="18"/>
        <v>514150.35120184813</v>
      </c>
      <c r="K47" s="956">
        <f t="shared" si="18"/>
        <v>627259.89273383562</v>
      </c>
      <c r="L47" s="956">
        <f t="shared" si="18"/>
        <v>611624.13692469383</v>
      </c>
      <c r="M47" s="92"/>
      <c r="N47" s="1388"/>
      <c r="O47" s="541" t="s">
        <v>154</v>
      </c>
      <c r="P47" s="95" t="s">
        <v>118</v>
      </c>
      <c r="Q47" s="95" t="s">
        <v>118</v>
      </c>
      <c r="R47" s="95"/>
      <c r="T47" s="96"/>
    </row>
    <row r="48" spans="1:20" ht="15.75" thickBot="1">
      <c r="A48" s="742">
        <f>ROW()</f>
        <v>48</v>
      </c>
      <c r="B48" s="655" t="s">
        <v>155</v>
      </c>
      <c r="C48" s="656"/>
      <c r="D48" s="656"/>
      <c r="E48" s="656"/>
      <c r="F48" s="957"/>
      <c r="G48" s="958">
        <f>IFERROR(G47/G66,0)</f>
        <v>915.40623236111264</v>
      </c>
      <c r="H48" s="958">
        <f t="shared" ref="H48:L48" si="19">IFERROR(H47/H66,0)</f>
        <v>654.91501619341625</v>
      </c>
      <c r="I48" s="958">
        <f t="shared" si="19"/>
        <v>530.10812134992022</v>
      </c>
      <c r="J48" s="958">
        <f t="shared" si="19"/>
        <v>1428.1954200051337</v>
      </c>
      <c r="K48" s="958">
        <f t="shared" si="19"/>
        <v>1742.388590927321</v>
      </c>
      <c r="L48" s="958">
        <f t="shared" si="19"/>
        <v>1698.9559359019272</v>
      </c>
      <c r="M48" s="92"/>
      <c r="O48" s="541"/>
      <c r="P48" s="80" t="s">
        <v>118</v>
      </c>
      <c r="Q48" s="80" t="s">
        <v>118</v>
      </c>
    </row>
    <row r="49" spans="1:19" ht="15.75" thickBot="1">
      <c r="A49" s="742">
        <f>ROW()</f>
        <v>49</v>
      </c>
      <c r="B49" s="658" t="s">
        <v>156</v>
      </c>
      <c r="C49" s="659"/>
      <c r="D49" s="659"/>
      <c r="E49" s="654"/>
      <c r="F49" s="959">
        <f t="shared" ref="F49:L49" si="20">+F47+E49</f>
        <v>440000</v>
      </c>
      <c r="G49" s="959">
        <f t="shared" si="20"/>
        <v>604773.12182500027</v>
      </c>
      <c r="H49" s="959">
        <f t="shared" si="20"/>
        <v>761952.72571142018</v>
      </c>
      <c r="I49" s="959">
        <f t="shared" si="20"/>
        <v>920985.16211639624</v>
      </c>
      <c r="J49" s="959">
        <f t="shared" si="20"/>
        <v>1435135.5133182444</v>
      </c>
      <c r="K49" s="959">
        <f t="shared" si="20"/>
        <v>2062395.40605208</v>
      </c>
      <c r="L49" s="959">
        <f t="shared" si="20"/>
        <v>2674019.5429767738</v>
      </c>
      <c r="M49" s="657"/>
      <c r="O49" s="80" t="s">
        <v>157</v>
      </c>
      <c r="P49" s="80" t="s">
        <v>118</v>
      </c>
      <c r="Q49" s="80" t="s">
        <v>118</v>
      </c>
      <c r="S49" s="212"/>
    </row>
    <row r="50" spans="1:19">
      <c r="A50" s="742">
        <f>ROW()</f>
        <v>50</v>
      </c>
      <c r="B50" s="1025" t="s">
        <v>158</v>
      </c>
      <c r="C50" s="1029">
        <f t="shared" ref="C50" si="21">SUM(F50:L50)</f>
        <v>0</v>
      </c>
      <c r="D50" s="1029"/>
      <c r="E50" s="1026"/>
      <c r="F50" s="1027">
        <v>0</v>
      </c>
      <c r="G50" s="1027">
        <v>0</v>
      </c>
      <c r="H50" s="1027">
        <v>0</v>
      </c>
      <c r="I50" s="1027">
        <v>0</v>
      </c>
      <c r="J50" s="1027">
        <v>0</v>
      </c>
      <c r="K50" s="1027">
        <v>0</v>
      </c>
      <c r="L50" s="1027">
        <v>0</v>
      </c>
      <c r="M50" s="657"/>
      <c r="O50" s="541"/>
      <c r="S50" s="212"/>
    </row>
    <row r="51" spans="1:19">
      <c r="A51" s="742">
        <f>ROW()</f>
        <v>51</v>
      </c>
      <c r="B51" s="1025"/>
      <c r="C51" s="1029"/>
      <c r="D51" s="1029"/>
      <c r="E51" s="1026"/>
      <c r="F51" s="1026"/>
      <c r="G51" s="1026"/>
      <c r="H51" s="1026"/>
      <c r="I51" s="1026"/>
      <c r="J51" s="1026"/>
      <c r="K51" s="1026"/>
      <c r="L51" s="1026"/>
      <c r="M51" s="657"/>
      <c r="O51" s="541"/>
      <c r="S51" s="212"/>
    </row>
    <row r="52" spans="1:19">
      <c r="A52" s="742">
        <f>ROW()</f>
        <v>52</v>
      </c>
      <c r="B52" s="1415" t="s">
        <v>159</v>
      </c>
      <c r="C52" s="1045"/>
      <c r="D52" s="1045"/>
      <c r="E52" s="1046"/>
      <c r="F52" s="1027">
        <v>0</v>
      </c>
      <c r="G52" s="1027">
        <v>0</v>
      </c>
      <c r="H52" s="1027">
        <v>0</v>
      </c>
      <c r="I52" s="1027">
        <v>0</v>
      </c>
      <c r="J52" s="1027">
        <v>0</v>
      </c>
      <c r="K52" s="1027">
        <v>0</v>
      </c>
      <c r="L52" s="1027">
        <v>0</v>
      </c>
      <c r="M52" s="657"/>
      <c r="O52" s="541"/>
      <c r="S52" s="212"/>
    </row>
    <row r="53" spans="1:19">
      <c r="A53" s="742">
        <f>ROW()</f>
        <v>53</v>
      </c>
      <c r="B53" s="1415" t="s">
        <v>160</v>
      </c>
      <c r="C53" s="1045"/>
      <c r="D53" s="1045"/>
      <c r="E53" s="1046"/>
      <c r="F53" s="1416">
        <v>0</v>
      </c>
      <c r="G53" s="1416">
        <v>0</v>
      </c>
      <c r="H53" s="1416">
        <v>0</v>
      </c>
      <c r="I53" s="1416">
        <v>0</v>
      </c>
      <c r="J53" s="1416">
        <v>0</v>
      </c>
      <c r="K53" s="1416">
        <v>0</v>
      </c>
      <c r="L53" s="1416">
        <v>0</v>
      </c>
      <c r="M53" s="657"/>
      <c r="O53" s="541"/>
      <c r="S53" s="212"/>
    </row>
    <row r="54" spans="1:19" ht="15.75" thickBot="1">
      <c r="A54" s="742">
        <f>ROW()</f>
        <v>54</v>
      </c>
      <c r="B54" s="1042" t="s">
        <v>161</v>
      </c>
      <c r="C54" s="1043"/>
      <c r="D54" s="1043"/>
      <c r="E54" s="1044"/>
      <c r="F54" s="1247">
        <f>SUM(F52:F53)</f>
        <v>0</v>
      </c>
      <c r="G54" s="1247">
        <f t="shared" ref="G54:L54" si="22">SUM(G52:G53)</f>
        <v>0</v>
      </c>
      <c r="H54" s="1247">
        <f t="shared" si="22"/>
        <v>0</v>
      </c>
      <c r="I54" s="1247">
        <f t="shared" si="22"/>
        <v>0</v>
      </c>
      <c r="J54" s="1247">
        <f t="shared" si="22"/>
        <v>0</v>
      </c>
      <c r="K54" s="1247">
        <f t="shared" si="22"/>
        <v>0</v>
      </c>
      <c r="L54" s="1247">
        <f t="shared" si="22"/>
        <v>0</v>
      </c>
      <c r="M54" s="657"/>
      <c r="O54" s="541"/>
      <c r="S54" s="212"/>
    </row>
    <row r="55" spans="1:19" ht="15.75" thickBot="1">
      <c r="A55" s="742">
        <f>ROW()</f>
        <v>55</v>
      </c>
      <c r="B55" s="658" t="s">
        <v>162</v>
      </c>
      <c r="C55" s="659"/>
      <c r="D55" s="659"/>
      <c r="E55" s="654"/>
      <c r="F55" s="959">
        <f>+F47-F50-F54</f>
        <v>440000</v>
      </c>
      <c r="G55" s="959">
        <f t="shared" ref="G55:L55" si="23">+G47-G50-G54</f>
        <v>164773.12182500027</v>
      </c>
      <c r="H55" s="959">
        <f t="shared" si="23"/>
        <v>157179.60388641991</v>
      </c>
      <c r="I55" s="959">
        <f t="shared" si="23"/>
        <v>159032.43640497606</v>
      </c>
      <c r="J55" s="959">
        <f t="shared" si="23"/>
        <v>514150.35120184813</v>
      </c>
      <c r="K55" s="959">
        <f t="shared" si="23"/>
        <v>627259.89273383562</v>
      </c>
      <c r="L55" s="959">
        <f t="shared" si="23"/>
        <v>611624.13692469383</v>
      </c>
      <c r="M55" s="657"/>
      <c r="O55" s="541"/>
      <c r="S55" s="212"/>
    </row>
    <row r="56" spans="1:19">
      <c r="A56" s="742">
        <f>ROW()</f>
        <v>56</v>
      </c>
      <c r="B56" s="655"/>
      <c r="C56" s="656"/>
      <c r="D56" s="656"/>
      <c r="E56" s="656"/>
      <c r="F56" s="960"/>
      <c r="G56" s="960"/>
      <c r="H56" s="960"/>
      <c r="I56" s="960"/>
      <c r="J56" s="960"/>
      <c r="K56" s="960"/>
      <c r="L56" s="960"/>
      <c r="M56" s="657"/>
      <c r="O56" s="541"/>
      <c r="P56" s="80" t="s">
        <v>118</v>
      </c>
      <c r="Q56" s="80" t="s">
        <v>118</v>
      </c>
    </row>
    <row r="57" spans="1:19">
      <c r="A57" s="742">
        <f>ROW()</f>
        <v>57</v>
      </c>
      <c r="B57" s="655" t="s">
        <v>163</v>
      </c>
      <c r="C57" s="656"/>
      <c r="D57" s="656"/>
      <c r="E57" s="656"/>
      <c r="F57" s="957">
        <f>+F47-(SUM(F30:F31))-F25</f>
        <v>440000</v>
      </c>
      <c r="G57" s="957">
        <f>+G47-(SUM(G30:G31))-G25</f>
        <v>-100556.87817499973</v>
      </c>
      <c r="H57" s="957">
        <f t="shared" ref="H57:L57" si="24">+H47-(SUM(H30:H31))-H25</f>
        <v>-135145.39611358009</v>
      </c>
      <c r="I57" s="957">
        <f t="shared" si="24"/>
        <v>-161365.56359502394</v>
      </c>
      <c r="J57" s="957">
        <f t="shared" si="24"/>
        <v>164553.35120184813</v>
      </c>
      <c r="K57" s="957">
        <f t="shared" si="24"/>
        <v>270891.89273383562</v>
      </c>
      <c r="L57" s="957">
        <f t="shared" si="24"/>
        <v>248282.13692469383</v>
      </c>
      <c r="M57" s="657"/>
      <c r="O57" s="541"/>
      <c r="P57" s="80" t="s">
        <v>118</v>
      </c>
      <c r="Q57" s="80" t="s">
        <v>118</v>
      </c>
    </row>
    <row r="58" spans="1:19">
      <c r="A58" s="742">
        <f>ROW()</f>
        <v>58</v>
      </c>
      <c r="B58" s="655" t="s">
        <v>164</v>
      </c>
      <c r="C58" s="656"/>
      <c r="D58" s="656"/>
      <c r="E58" s="656"/>
      <c r="F58" s="960"/>
      <c r="G58" s="957">
        <f t="shared" ref="G58:L58" si="25">+G57+F58</f>
        <v>-100556.87817499973</v>
      </c>
      <c r="H58" s="957">
        <f t="shared" si="25"/>
        <v>-235702.27428857982</v>
      </c>
      <c r="I58" s="957">
        <f t="shared" si="25"/>
        <v>-397067.83788360376</v>
      </c>
      <c r="J58" s="957">
        <f t="shared" si="25"/>
        <v>-232514.48668175563</v>
      </c>
      <c r="K58" s="957">
        <f t="shared" si="25"/>
        <v>38377.406052079983</v>
      </c>
      <c r="L58" s="957">
        <f t="shared" si="25"/>
        <v>286659.54297677381</v>
      </c>
      <c r="M58" s="657"/>
      <c r="O58" s="541"/>
      <c r="P58" s="80" t="s">
        <v>118</v>
      </c>
      <c r="Q58" s="80" t="s">
        <v>118</v>
      </c>
    </row>
    <row r="59" spans="1:19">
      <c r="A59" s="742">
        <f>ROW()</f>
        <v>59</v>
      </c>
      <c r="B59" s="655"/>
      <c r="C59" s="656"/>
      <c r="D59" s="656"/>
      <c r="E59" s="656"/>
      <c r="F59" s="960"/>
      <c r="G59" s="960"/>
      <c r="H59" s="960"/>
      <c r="I59" s="960"/>
      <c r="J59" s="960"/>
      <c r="K59" s="960"/>
      <c r="L59" s="960"/>
      <c r="M59" s="657"/>
      <c r="O59" s="541"/>
      <c r="P59" s="80" t="s">
        <v>118</v>
      </c>
      <c r="Q59" s="80" t="s">
        <v>118</v>
      </c>
    </row>
    <row r="60" spans="1:19" ht="18">
      <c r="A60" s="742">
        <f>ROW()</f>
        <v>60</v>
      </c>
      <c r="B60" s="1417" t="s">
        <v>165</v>
      </c>
      <c r="C60" s="1418"/>
      <c r="D60" s="1418"/>
      <c r="E60" s="1418"/>
      <c r="F60" s="1419" t="str">
        <f t="shared" ref="F60:L60" si="26">F6</f>
        <v>SY 0/Incu</v>
      </c>
      <c r="G60" s="1420">
        <f t="shared" si="26"/>
        <v>1</v>
      </c>
      <c r="H60" s="1420">
        <f t="shared" si="26"/>
        <v>2</v>
      </c>
      <c r="I60" s="1420">
        <f t="shared" si="26"/>
        <v>3</v>
      </c>
      <c r="J60" s="1420">
        <f t="shared" si="26"/>
        <v>4</v>
      </c>
      <c r="K60" s="1420">
        <f t="shared" si="26"/>
        <v>5</v>
      </c>
      <c r="L60" s="1420">
        <f t="shared" si="26"/>
        <v>6</v>
      </c>
      <c r="M60" s="657"/>
      <c r="O60" s="541"/>
      <c r="P60" s="80" t="s">
        <v>118</v>
      </c>
      <c r="Q60" s="80" t="s">
        <v>118</v>
      </c>
    </row>
    <row r="61" spans="1:19">
      <c r="A61" s="742">
        <f>ROW()</f>
        <v>61</v>
      </c>
      <c r="B61" s="266" t="s">
        <v>166</v>
      </c>
      <c r="C61" s="266"/>
      <c r="D61" s="266"/>
      <c r="E61" s="266"/>
      <c r="F61" s="961"/>
      <c r="G61" s="962">
        <f>IFERROR(+G47/G89,0)</f>
        <v>13.190274686172238</v>
      </c>
      <c r="H61" s="962">
        <f t="shared" ref="H61:L61" si="27">IFERROR(+H47/H89,0)</f>
        <v>14.980165638971176</v>
      </c>
      <c r="I61" s="962">
        <f t="shared" si="27"/>
        <v>15.281775282281295</v>
      </c>
      <c r="J61" s="962">
        <f t="shared" si="27"/>
        <v>49.664016150278051</v>
      </c>
      <c r="K61" s="962">
        <f t="shared" si="27"/>
        <v>59.257446332822866</v>
      </c>
      <c r="L61" s="962">
        <f t="shared" si="27"/>
        <v>57.674780765311603</v>
      </c>
      <c r="M61" s="660"/>
      <c r="N61" s="84"/>
      <c r="O61" s="541"/>
      <c r="P61" s="84" t="s">
        <v>118</v>
      </c>
      <c r="Q61" s="84" t="s">
        <v>118</v>
      </c>
      <c r="R61" s="84"/>
    </row>
    <row r="62" spans="1:19">
      <c r="A62" s="742">
        <f>ROW()</f>
        <v>62</v>
      </c>
      <c r="B62" s="42" t="s">
        <v>167</v>
      </c>
      <c r="C62" s="42"/>
      <c r="D62" s="42"/>
      <c r="E62" s="42"/>
      <c r="F62" s="963"/>
      <c r="G62" s="1191">
        <f>IFERROR(+G61/G66,0)</f>
        <v>7.3279303812067986E-2</v>
      </c>
      <c r="H62" s="1191">
        <f t="shared" ref="H62:L62" si="28">IFERROR(+H61/H66,0)</f>
        <v>6.2417356829046568E-2</v>
      </c>
      <c r="I62" s="1191">
        <f t="shared" si="28"/>
        <v>5.0939250940937653E-2</v>
      </c>
      <c r="J62" s="1191">
        <f t="shared" si="28"/>
        <v>0.13795560041743904</v>
      </c>
      <c r="K62" s="1191">
        <f t="shared" si="28"/>
        <v>0.16460401759117463</v>
      </c>
      <c r="L62" s="1191">
        <f t="shared" si="28"/>
        <v>0.16020772434808778</v>
      </c>
      <c r="M62" s="661"/>
      <c r="N62" s="84"/>
      <c r="O62" s="541"/>
      <c r="P62" s="84" t="s">
        <v>118</v>
      </c>
      <c r="Q62" s="84" t="s">
        <v>118</v>
      </c>
      <c r="R62" s="84"/>
    </row>
    <row r="63" spans="1:19">
      <c r="A63" s="742">
        <f>ROW()</f>
        <v>63</v>
      </c>
      <c r="B63" s="266" t="s">
        <v>168</v>
      </c>
      <c r="C63" s="662"/>
      <c r="D63" s="662"/>
      <c r="E63" s="662"/>
      <c r="F63" s="1190">
        <f>F47+E63</f>
        <v>440000</v>
      </c>
      <c r="G63" s="1190">
        <f>G47+F63</f>
        <v>604773.12182500027</v>
      </c>
      <c r="H63" s="1190">
        <f>+G63+H47</f>
        <v>761952.72571142018</v>
      </c>
      <c r="I63" s="1190">
        <f>H63+I47</f>
        <v>920985.16211639624</v>
      </c>
      <c r="J63" s="1190">
        <f>I63+J47</f>
        <v>1435135.5133182444</v>
      </c>
      <c r="K63" s="1190">
        <f>J63+K47</f>
        <v>2062395.40605208</v>
      </c>
      <c r="L63" s="1190">
        <f>K63+L47</f>
        <v>2674019.5429767738</v>
      </c>
      <c r="M63" s="663"/>
      <c r="N63" s="84"/>
      <c r="O63" s="541"/>
      <c r="P63" s="84" t="s">
        <v>118</v>
      </c>
      <c r="Q63" s="84" t="s">
        <v>118</v>
      </c>
      <c r="R63" s="84"/>
      <c r="S63" s="548"/>
    </row>
    <row r="64" spans="1:19">
      <c r="A64" s="742">
        <f>ROW()</f>
        <v>64</v>
      </c>
      <c r="B64" s="73" t="s">
        <v>169</v>
      </c>
      <c r="C64" s="664"/>
      <c r="D64" s="664"/>
      <c r="E64" s="664"/>
      <c r="F64" s="964"/>
      <c r="G64" s="965">
        <f>IFERROR(+G63/G45,0)</f>
        <v>0.29022751543191933</v>
      </c>
      <c r="H64" s="965">
        <f t="shared" ref="H64:L64" si="29">IFERROR(+H63/H45,0)</f>
        <v>0.32272131599548437</v>
      </c>
      <c r="I64" s="965">
        <f t="shared" si="29"/>
        <v>0.31083181400309473</v>
      </c>
      <c r="J64" s="965">
        <f t="shared" si="29"/>
        <v>0.44669642386342334</v>
      </c>
      <c r="K64" s="965">
        <f t="shared" si="29"/>
        <v>0.64784701483041696</v>
      </c>
      <c r="L64" s="965">
        <f t="shared" si="29"/>
        <v>0.83404894414023123</v>
      </c>
      <c r="M64" s="663"/>
      <c r="N64" s="84"/>
      <c r="O64" s="541"/>
      <c r="P64" s="84" t="s">
        <v>118</v>
      </c>
      <c r="Q64" s="84" t="s">
        <v>118</v>
      </c>
      <c r="R64" s="84"/>
    </row>
    <row r="65" spans="1:17">
      <c r="A65" s="742">
        <f>ROW()</f>
        <v>65</v>
      </c>
      <c r="B65" s="46"/>
      <c r="C65" s="46"/>
      <c r="D65" s="46"/>
      <c r="E65" s="46"/>
      <c r="F65" s="781"/>
      <c r="G65" s="781"/>
      <c r="H65" s="781"/>
      <c r="I65" s="781"/>
      <c r="J65" s="781"/>
      <c r="K65" s="781"/>
      <c r="L65" s="781"/>
      <c r="M65" s="42"/>
      <c r="O65" s="541"/>
      <c r="P65" s="80" t="s">
        <v>118</v>
      </c>
      <c r="Q65" s="80" t="s">
        <v>118</v>
      </c>
    </row>
    <row r="66" spans="1:17">
      <c r="A66" s="742">
        <f>ROW()</f>
        <v>66</v>
      </c>
      <c r="B66" s="665" t="s">
        <v>120</v>
      </c>
      <c r="C66" s="1081">
        <f t="shared" ref="C66:C67" si="30">MAX(F66:L66)</f>
        <v>360</v>
      </c>
      <c r="D66" s="734"/>
      <c r="E66" s="490"/>
      <c r="F66" s="966">
        <f>' Enrol &amp; Rev'!G34</f>
        <v>0</v>
      </c>
      <c r="G66" s="966">
        <f>' Enrol &amp; Rev'!H34</f>
        <v>180</v>
      </c>
      <c r="H66" s="966">
        <f>' Enrol &amp; Rev'!I34</f>
        <v>240</v>
      </c>
      <c r="I66" s="966">
        <f>' Enrol &amp; Rev'!J34</f>
        <v>300</v>
      </c>
      <c r="J66" s="966">
        <f>' Enrol &amp; Rev'!K34</f>
        <v>360</v>
      </c>
      <c r="K66" s="966">
        <f>' Enrol &amp; Rev'!L34</f>
        <v>360</v>
      </c>
      <c r="L66" s="966">
        <f>' Enrol &amp; Rev'!M34</f>
        <v>360</v>
      </c>
      <c r="M66" s="42"/>
      <c r="O66" s="541"/>
      <c r="P66" s="80" t="s">
        <v>118</v>
      </c>
      <c r="Q66" s="80" t="s">
        <v>118</v>
      </c>
    </row>
    <row r="67" spans="1:17">
      <c r="A67" s="742">
        <f>ROW()</f>
        <v>67</v>
      </c>
      <c r="B67" s="666" t="s">
        <v>170</v>
      </c>
      <c r="C67" s="1082">
        <f t="shared" si="30"/>
        <v>35</v>
      </c>
      <c r="D67" s="735"/>
      <c r="E67" s="489"/>
      <c r="F67" s="967">
        <f>Staff!G21</f>
        <v>0</v>
      </c>
      <c r="G67" s="967">
        <f>Staff!H21</f>
        <v>19</v>
      </c>
      <c r="H67" s="967">
        <f>Staff!I21</f>
        <v>23</v>
      </c>
      <c r="I67" s="967">
        <f>Staff!J21</f>
        <v>30</v>
      </c>
      <c r="J67" s="967">
        <f>Staff!K21</f>
        <v>34</v>
      </c>
      <c r="K67" s="967">
        <f>Staff!L21</f>
        <v>34</v>
      </c>
      <c r="L67" s="967">
        <f>Staff!M21</f>
        <v>35</v>
      </c>
      <c r="M67" s="42"/>
      <c r="O67" s="541"/>
      <c r="P67" s="80" t="s">
        <v>118</v>
      </c>
      <c r="Q67" s="80" t="s">
        <v>118</v>
      </c>
    </row>
    <row r="68" spans="1:17">
      <c r="A68" s="742">
        <f>ROW()</f>
        <v>68</v>
      </c>
      <c r="B68" s="643" t="s">
        <v>171</v>
      </c>
      <c r="C68" s="1080">
        <f>MAX(F68:L68)</f>
        <v>395</v>
      </c>
      <c r="D68" s="734"/>
      <c r="E68" s="490"/>
      <c r="F68" s="966">
        <f t="shared" ref="F68:L68" si="31">SUM(F66:F67)</f>
        <v>0</v>
      </c>
      <c r="G68" s="966">
        <f t="shared" si="31"/>
        <v>199</v>
      </c>
      <c r="H68" s="966">
        <f t="shared" si="31"/>
        <v>263</v>
      </c>
      <c r="I68" s="966">
        <f t="shared" si="31"/>
        <v>330</v>
      </c>
      <c r="J68" s="966">
        <f t="shared" si="31"/>
        <v>394</v>
      </c>
      <c r="K68" s="966">
        <f t="shared" si="31"/>
        <v>394</v>
      </c>
      <c r="L68" s="966">
        <f t="shared" si="31"/>
        <v>395</v>
      </c>
      <c r="M68" s="42"/>
      <c r="O68" s="541"/>
      <c r="P68" s="80" t="s">
        <v>118</v>
      </c>
      <c r="Q68" s="80" t="s">
        <v>118</v>
      </c>
    </row>
    <row r="69" spans="1:17">
      <c r="A69" s="742">
        <f>ROW()</f>
        <v>69</v>
      </c>
      <c r="B69" s="667" t="s">
        <v>172</v>
      </c>
      <c r="C69" s="1080"/>
      <c r="D69" s="74"/>
      <c r="E69" s="489"/>
      <c r="F69" s="949"/>
      <c r="G69" s="949"/>
      <c r="H69" s="965">
        <f>IFERROR(+H66/G66-1,0)</f>
        <v>0.33333333333333326</v>
      </c>
      <c r="I69" s="965">
        <f t="shared" ref="I69:L69" si="32">IFERROR(+I66/H66-1,0)</f>
        <v>0.25</v>
      </c>
      <c r="J69" s="965">
        <f t="shared" si="32"/>
        <v>0.19999999999999996</v>
      </c>
      <c r="K69" s="965">
        <f t="shared" si="32"/>
        <v>0</v>
      </c>
      <c r="L69" s="965">
        <f t="shared" si="32"/>
        <v>0</v>
      </c>
      <c r="M69" s="42"/>
      <c r="O69" s="541"/>
      <c r="P69" s="80" t="s">
        <v>118</v>
      </c>
      <c r="Q69" s="80" t="s">
        <v>118</v>
      </c>
    </row>
    <row r="70" spans="1:17">
      <c r="A70" s="742">
        <f>ROW()</f>
        <v>70</v>
      </c>
      <c r="B70" s="668" t="s">
        <v>173</v>
      </c>
      <c r="C70" s="1080">
        <f t="shared" ref="C70:C72" si="33">MAX(F70:L70)</f>
        <v>2</v>
      </c>
      <c r="D70" s="735"/>
      <c r="E70" s="489"/>
      <c r="F70" s="949">
        <f>+Staff!G101</f>
        <v>0</v>
      </c>
      <c r="G70" s="949">
        <f>+Staff!H101</f>
        <v>1</v>
      </c>
      <c r="H70" s="949">
        <f>+Staff!I101</f>
        <v>2</v>
      </c>
      <c r="I70" s="949">
        <f>+Staff!J101</f>
        <v>2</v>
      </c>
      <c r="J70" s="949">
        <f>+Staff!K101</f>
        <v>2</v>
      </c>
      <c r="K70" s="949">
        <f>+Staff!L101</f>
        <v>2</v>
      </c>
      <c r="L70" s="949">
        <f>+Staff!M101</f>
        <v>2</v>
      </c>
      <c r="M70" s="42"/>
      <c r="O70" s="541"/>
      <c r="P70" s="80" t="s">
        <v>118</v>
      </c>
      <c r="Q70" s="80" t="s">
        <v>118</v>
      </c>
    </row>
    <row r="71" spans="1:17">
      <c r="A71" s="742">
        <f>ROW()</f>
        <v>71</v>
      </c>
      <c r="B71" s="668" t="s">
        <v>174</v>
      </c>
      <c r="C71" s="1080">
        <f t="shared" si="33"/>
        <v>4</v>
      </c>
      <c r="D71" s="735"/>
      <c r="E71" s="489"/>
      <c r="F71" s="949">
        <f>+Staff!G113</f>
        <v>0</v>
      </c>
      <c r="G71" s="949">
        <f>+Staff!H113</f>
        <v>2</v>
      </c>
      <c r="H71" s="949">
        <f>+Staff!I113</f>
        <v>2</v>
      </c>
      <c r="I71" s="949">
        <f>+Staff!J113</f>
        <v>3</v>
      </c>
      <c r="J71" s="949">
        <f>+Staff!K113</f>
        <v>4</v>
      </c>
      <c r="K71" s="949">
        <f>+Staff!L113</f>
        <v>4</v>
      </c>
      <c r="L71" s="949">
        <f>+Staff!M113</f>
        <v>4</v>
      </c>
      <c r="M71" s="42"/>
      <c r="O71" s="541"/>
      <c r="P71" s="80" t="s">
        <v>118</v>
      </c>
      <c r="Q71" s="80" t="s">
        <v>118</v>
      </c>
    </row>
    <row r="72" spans="1:17">
      <c r="A72" s="742">
        <f>ROW()</f>
        <v>72</v>
      </c>
      <c r="B72" s="668" t="s">
        <v>175</v>
      </c>
      <c r="C72" s="1080">
        <f t="shared" si="33"/>
        <v>22</v>
      </c>
      <c r="D72" s="735"/>
      <c r="E72" s="489"/>
      <c r="F72" s="949">
        <f>+Staff!G229</f>
        <v>0</v>
      </c>
      <c r="G72" s="949">
        <f>+Staff!H229</f>
        <v>12</v>
      </c>
      <c r="H72" s="949">
        <f>+Staff!I229</f>
        <v>15</v>
      </c>
      <c r="I72" s="949">
        <f>+Staff!J229</f>
        <v>19</v>
      </c>
      <c r="J72" s="949">
        <f>+Staff!K229</f>
        <v>22</v>
      </c>
      <c r="K72" s="949">
        <f>+Staff!L229</f>
        <v>22</v>
      </c>
      <c r="L72" s="949">
        <f>+Staff!M229</f>
        <v>22</v>
      </c>
      <c r="M72" s="42"/>
      <c r="O72" s="541"/>
      <c r="P72" s="80" t="s">
        <v>118</v>
      </c>
      <c r="Q72" s="80" t="s">
        <v>118</v>
      </c>
    </row>
    <row r="73" spans="1:17">
      <c r="A73" s="742">
        <f>ROW()</f>
        <v>73</v>
      </c>
      <c r="B73" s="1826" t="s">
        <v>176</v>
      </c>
      <c r="C73" s="1083">
        <f t="shared" ref="C73:C81" si="34">MAX(G73:L73)</f>
        <v>28</v>
      </c>
      <c r="D73" s="734"/>
      <c r="E73" s="1827"/>
      <c r="F73" s="966">
        <f>SUM(F70:F72)</f>
        <v>0</v>
      </c>
      <c r="G73" s="966">
        <f t="shared" ref="G73:L73" si="35">SUM(G70:G72)</f>
        <v>15</v>
      </c>
      <c r="H73" s="966">
        <f t="shared" si="35"/>
        <v>19</v>
      </c>
      <c r="I73" s="966">
        <f t="shared" si="35"/>
        <v>24</v>
      </c>
      <c r="J73" s="966">
        <f t="shared" si="35"/>
        <v>28</v>
      </c>
      <c r="K73" s="966">
        <f t="shared" si="35"/>
        <v>28</v>
      </c>
      <c r="L73" s="966">
        <f t="shared" si="35"/>
        <v>28</v>
      </c>
      <c r="M73" s="42"/>
      <c r="O73" s="541"/>
      <c r="P73" s="80" t="s">
        <v>118</v>
      </c>
      <c r="Q73" s="80" t="s">
        <v>118</v>
      </c>
    </row>
    <row r="74" spans="1:17">
      <c r="A74" s="742">
        <f>ROW()</f>
        <v>74</v>
      </c>
      <c r="B74" s="665" t="s">
        <v>177</v>
      </c>
      <c r="C74" s="1080">
        <f t="shared" si="34"/>
        <v>12.857142857142858</v>
      </c>
      <c r="D74" s="734"/>
      <c r="E74" s="490"/>
      <c r="F74" s="961"/>
      <c r="G74" s="961">
        <f>IFERROR(+G66/G73,0)</f>
        <v>12</v>
      </c>
      <c r="H74" s="961">
        <f t="shared" ref="H74:L74" si="36">IFERROR(+H66/H73,0)</f>
        <v>12.631578947368421</v>
      </c>
      <c r="I74" s="961">
        <f t="shared" si="36"/>
        <v>12.5</v>
      </c>
      <c r="J74" s="961">
        <f t="shared" si="36"/>
        <v>12.857142857142858</v>
      </c>
      <c r="K74" s="961">
        <f t="shared" si="36"/>
        <v>12.857142857142858</v>
      </c>
      <c r="L74" s="961">
        <f t="shared" si="36"/>
        <v>12.857142857142858</v>
      </c>
      <c r="M74" s="42"/>
      <c r="O74" s="541"/>
      <c r="P74" s="80" t="s">
        <v>118</v>
      </c>
      <c r="Q74" s="80" t="s">
        <v>118</v>
      </c>
    </row>
    <row r="75" spans="1:17">
      <c r="A75" s="742">
        <f>ROW()</f>
        <v>75</v>
      </c>
      <c r="B75" s="669" t="s">
        <v>178</v>
      </c>
      <c r="C75" s="1080"/>
      <c r="D75" s="74"/>
      <c r="E75" s="489"/>
      <c r="F75" s="968"/>
      <c r="G75" s="968">
        <f>' Enrol &amp; Rev'!H19</f>
        <v>20</v>
      </c>
      <c r="H75" s="968">
        <f>' Enrol &amp; Rev'!I19</f>
        <v>20</v>
      </c>
      <c r="I75" s="968">
        <f>' Enrol &amp; Rev'!J19</f>
        <v>20</v>
      </c>
      <c r="J75" s="968">
        <f>' Enrol &amp; Rev'!K19</f>
        <v>20</v>
      </c>
      <c r="K75" s="968">
        <f>' Enrol &amp; Rev'!L19</f>
        <v>20</v>
      </c>
      <c r="L75" s="968">
        <f>' Enrol &amp; Rev'!M19</f>
        <v>20</v>
      </c>
      <c r="M75" s="42"/>
      <c r="O75" s="541"/>
      <c r="P75" s="80" t="s">
        <v>118</v>
      </c>
      <c r="Q75" s="80" t="s">
        <v>118</v>
      </c>
    </row>
    <row r="76" spans="1:17">
      <c r="A76" s="742">
        <f>ROW()</f>
        <v>76</v>
      </c>
      <c r="B76" s="668" t="s">
        <v>179</v>
      </c>
      <c r="C76" s="1080">
        <f t="shared" si="34"/>
        <v>2</v>
      </c>
      <c r="D76" s="735"/>
      <c r="E76" s="489"/>
      <c r="F76" s="949">
        <f>+Staff!G81</f>
        <v>0</v>
      </c>
      <c r="G76" s="949">
        <f>+Staff!H81</f>
        <v>1</v>
      </c>
      <c r="H76" s="949">
        <f>+Staff!I81</f>
        <v>1</v>
      </c>
      <c r="I76" s="949">
        <f>+Staff!J81</f>
        <v>1</v>
      </c>
      <c r="J76" s="949">
        <f>+Staff!K81</f>
        <v>1</v>
      </c>
      <c r="K76" s="949">
        <f>+Staff!L81</f>
        <v>1</v>
      </c>
      <c r="L76" s="949">
        <f>+Staff!M81</f>
        <v>2</v>
      </c>
      <c r="M76" s="42"/>
      <c r="O76" s="541"/>
      <c r="P76" s="80" t="s">
        <v>118</v>
      </c>
      <c r="Q76" s="80" t="s">
        <v>118</v>
      </c>
    </row>
    <row r="77" spans="1:17">
      <c r="A77" s="742">
        <f>ROW()</f>
        <v>77</v>
      </c>
      <c r="B77" s="643" t="s">
        <v>180</v>
      </c>
      <c r="C77" s="1081">
        <f t="shared" si="34"/>
        <v>360</v>
      </c>
      <c r="D77" s="734"/>
      <c r="E77" s="490"/>
      <c r="F77" s="966">
        <f>IFERROR(F66/F76,0)</f>
        <v>0</v>
      </c>
      <c r="G77" s="966">
        <f>IFERROR(+G66/G76,0)</f>
        <v>180</v>
      </c>
      <c r="H77" s="966">
        <f t="shared" ref="H77:L77" si="37">IFERROR(+H66/H76,0)</f>
        <v>240</v>
      </c>
      <c r="I77" s="966">
        <f t="shared" si="37"/>
        <v>300</v>
      </c>
      <c r="J77" s="966">
        <f t="shared" si="37"/>
        <v>360</v>
      </c>
      <c r="K77" s="966">
        <f t="shared" si="37"/>
        <v>360</v>
      </c>
      <c r="L77" s="966">
        <f t="shared" si="37"/>
        <v>180</v>
      </c>
      <c r="M77" s="42"/>
      <c r="O77" s="541"/>
      <c r="P77" s="80" t="s">
        <v>118</v>
      </c>
      <c r="Q77" s="80" t="s">
        <v>118</v>
      </c>
    </row>
    <row r="78" spans="1:17">
      <c r="A78" s="742">
        <f>ROW()</f>
        <v>78</v>
      </c>
      <c r="B78" s="668" t="s">
        <v>181</v>
      </c>
      <c r="C78" s="1080">
        <f t="shared" si="34"/>
        <v>28</v>
      </c>
      <c r="D78" s="735"/>
      <c r="E78" s="489"/>
      <c r="F78" s="949">
        <f>IFERROR(F73/F76,0)</f>
        <v>0</v>
      </c>
      <c r="G78" s="949">
        <f>IFERROR(+G73/G76,0)</f>
        <v>15</v>
      </c>
      <c r="H78" s="949">
        <f t="shared" ref="H78:L78" si="38">IFERROR(+H73/H76,0)</f>
        <v>19</v>
      </c>
      <c r="I78" s="949">
        <f t="shared" si="38"/>
        <v>24</v>
      </c>
      <c r="J78" s="949">
        <f t="shared" si="38"/>
        <v>28</v>
      </c>
      <c r="K78" s="949">
        <f t="shared" si="38"/>
        <v>28</v>
      </c>
      <c r="L78" s="949">
        <f t="shared" si="38"/>
        <v>14</v>
      </c>
      <c r="M78" s="42"/>
      <c r="O78" s="541"/>
      <c r="P78" s="80" t="s">
        <v>118</v>
      </c>
      <c r="Q78" s="80" t="s">
        <v>118</v>
      </c>
    </row>
    <row r="79" spans="1:17">
      <c r="A79" s="742">
        <f>ROW()</f>
        <v>79</v>
      </c>
      <c r="B79" s="668" t="s">
        <v>182</v>
      </c>
      <c r="C79" s="1082">
        <f t="shared" si="34"/>
        <v>4</v>
      </c>
      <c r="D79" s="735"/>
      <c r="E79" s="489"/>
      <c r="F79" s="949">
        <f>+Staff!G89</f>
        <v>0</v>
      </c>
      <c r="G79" s="949">
        <f>+Staff!H89</f>
        <v>2</v>
      </c>
      <c r="H79" s="949">
        <f>+Staff!I89</f>
        <v>2</v>
      </c>
      <c r="I79" s="949">
        <f>+Staff!J89</f>
        <v>3</v>
      </c>
      <c r="J79" s="949">
        <f>+Staff!K89</f>
        <v>3</v>
      </c>
      <c r="K79" s="949">
        <f>+Staff!L89</f>
        <v>3</v>
      </c>
      <c r="L79" s="949">
        <f>+Staff!M89</f>
        <v>4</v>
      </c>
      <c r="M79" s="42"/>
      <c r="O79" s="541"/>
      <c r="P79" s="80" t="s">
        <v>118</v>
      </c>
      <c r="Q79" s="80" t="s">
        <v>118</v>
      </c>
    </row>
    <row r="80" spans="1:17">
      <c r="A80" s="742">
        <f>ROW()</f>
        <v>80</v>
      </c>
      <c r="B80" s="643" t="s">
        <v>183</v>
      </c>
      <c r="C80" s="1080">
        <f t="shared" si="34"/>
        <v>120</v>
      </c>
      <c r="D80" s="734"/>
      <c r="E80" s="490"/>
      <c r="F80" s="966"/>
      <c r="G80" s="966">
        <f>IFERROR(+G66/G79,0)</f>
        <v>90</v>
      </c>
      <c r="H80" s="966">
        <f t="shared" ref="H80:L80" si="39">IFERROR(+H66/H79,0)</f>
        <v>120</v>
      </c>
      <c r="I80" s="966">
        <f t="shared" si="39"/>
        <v>100</v>
      </c>
      <c r="J80" s="966">
        <f t="shared" si="39"/>
        <v>120</v>
      </c>
      <c r="K80" s="966">
        <f t="shared" si="39"/>
        <v>120</v>
      </c>
      <c r="L80" s="966">
        <f t="shared" si="39"/>
        <v>90</v>
      </c>
      <c r="M80" s="42"/>
      <c r="O80" s="541"/>
      <c r="P80" s="80" t="s">
        <v>118</v>
      </c>
      <c r="Q80" s="80" t="s">
        <v>118</v>
      </c>
    </row>
    <row r="81" spans="1:17">
      <c r="A81" s="742">
        <f>ROW()</f>
        <v>81</v>
      </c>
      <c r="B81" s="668" t="s">
        <v>184</v>
      </c>
      <c r="C81" s="1080">
        <f t="shared" si="34"/>
        <v>9.5</v>
      </c>
      <c r="D81" s="735"/>
      <c r="E81" s="489"/>
      <c r="F81" s="968"/>
      <c r="G81" s="949">
        <f>IFERROR(+G73/G79,0)</f>
        <v>7.5</v>
      </c>
      <c r="H81" s="949">
        <f t="shared" ref="H81:L81" si="40">IFERROR(+H73/H79,0)</f>
        <v>9.5</v>
      </c>
      <c r="I81" s="949">
        <f t="shared" si="40"/>
        <v>8</v>
      </c>
      <c r="J81" s="949">
        <f t="shared" si="40"/>
        <v>9.3333333333333339</v>
      </c>
      <c r="K81" s="949">
        <f t="shared" si="40"/>
        <v>9.3333333333333339</v>
      </c>
      <c r="L81" s="949">
        <f t="shared" si="40"/>
        <v>7</v>
      </c>
      <c r="M81" s="42"/>
      <c r="O81" s="541"/>
      <c r="P81" s="80" t="s">
        <v>118</v>
      </c>
      <c r="Q81" s="80" t="s">
        <v>118</v>
      </c>
    </row>
    <row r="82" spans="1:17">
      <c r="A82" s="742">
        <f>ROW()</f>
        <v>82</v>
      </c>
      <c r="B82" s="668" t="s">
        <v>185</v>
      </c>
      <c r="C82" s="736">
        <f t="shared" ref="C82:C87" si="41">AVERAGE(G82:L82)</f>
        <v>80666.666666666672</v>
      </c>
      <c r="D82" s="736"/>
      <c r="E82" s="670"/>
      <c r="F82" s="794"/>
      <c r="G82" s="794">
        <f>IFERROR(+Staff!H240/G76,0)</f>
        <v>88000</v>
      </c>
      <c r="H82" s="794">
        <f>IFERROR(+Staff!I240/H76,0)</f>
        <v>88000</v>
      </c>
      <c r="I82" s="794">
        <f>IFERROR(+Staff!J240/I76,0)</f>
        <v>88000</v>
      </c>
      <c r="J82" s="794">
        <f>IFERROR(+Staff!K240/J76,0)</f>
        <v>88000</v>
      </c>
      <c r="K82" s="794">
        <f>IFERROR(+Staff!L240/K76,0)</f>
        <v>88000</v>
      </c>
      <c r="L82" s="794">
        <f>IFERROR(+Staff!M240/L76,0)</f>
        <v>44000</v>
      </c>
      <c r="M82" s="42"/>
      <c r="O82" s="541"/>
      <c r="P82" s="80" t="s">
        <v>118</v>
      </c>
      <c r="Q82" s="80" t="s">
        <v>118</v>
      </c>
    </row>
    <row r="83" spans="1:17">
      <c r="A83" s="742">
        <f>ROW()</f>
        <v>83</v>
      </c>
      <c r="B83" s="668" t="s">
        <v>186</v>
      </c>
      <c r="C83" s="736">
        <f t="shared" si="41"/>
        <v>25958.333333333332</v>
      </c>
      <c r="D83" s="736"/>
      <c r="E83" s="489"/>
      <c r="F83" s="949"/>
      <c r="G83" s="949">
        <f>IFERROR(+Staff!H247/G79,0)</f>
        <v>23500</v>
      </c>
      <c r="H83" s="949">
        <f>IFERROR(+Staff!I247/H79,0)</f>
        <v>23500</v>
      </c>
      <c r="I83" s="949">
        <f>IFERROR(+Staff!J247/I79,0)</f>
        <v>29000</v>
      </c>
      <c r="J83" s="949">
        <f>IFERROR(+Staff!K247/J79,0)</f>
        <v>29000</v>
      </c>
      <c r="K83" s="949">
        <f>IFERROR(+Staff!L247/K79,0)</f>
        <v>29000</v>
      </c>
      <c r="L83" s="949">
        <f>IFERROR(+Staff!M247/L79,0)</f>
        <v>21750</v>
      </c>
      <c r="M83" s="42"/>
      <c r="O83" s="541"/>
      <c r="P83" s="80" t="s">
        <v>118</v>
      </c>
      <c r="Q83" s="80" t="s">
        <v>118</v>
      </c>
    </row>
    <row r="84" spans="1:17">
      <c r="A84" s="742">
        <f>ROW()</f>
        <v>84</v>
      </c>
      <c r="B84" s="668" t="s">
        <v>187</v>
      </c>
      <c r="C84" s="737">
        <f t="shared" si="41"/>
        <v>51750</v>
      </c>
      <c r="D84" s="737"/>
      <c r="E84" s="489"/>
      <c r="F84" s="949"/>
      <c r="G84" s="949">
        <f>IFERROR(+Staff!H262/G70,0)</f>
        <v>53000</v>
      </c>
      <c r="H84" s="949">
        <f>IFERROR(+Staff!I262/H70,0)</f>
        <v>51500</v>
      </c>
      <c r="I84" s="949">
        <f>IFERROR(+Staff!J262/I70,0)</f>
        <v>51500</v>
      </c>
      <c r="J84" s="949">
        <f>IFERROR(+Staff!K262/J70,0)</f>
        <v>51500</v>
      </c>
      <c r="K84" s="949">
        <f>IFERROR(+Staff!L262/K70,0)</f>
        <v>51500</v>
      </c>
      <c r="L84" s="949">
        <f>IFERROR(+Staff!M262/L70,0)</f>
        <v>51500</v>
      </c>
      <c r="M84" s="42"/>
      <c r="O84" s="541"/>
      <c r="P84" s="80" t="s">
        <v>118</v>
      </c>
      <c r="Q84" s="80" t="s">
        <v>118</v>
      </c>
    </row>
    <row r="85" spans="1:17">
      <c r="A85" s="742">
        <f>ROW()</f>
        <v>85</v>
      </c>
      <c r="B85" s="668" t="s">
        <v>188</v>
      </c>
      <c r="C85" s="737">
        <f t="shared" si="41"/>
        <v>51041.666666666664</v>
      </c>
      <c r="D85" s="737"/>
      <c r="E85" s="489"/>
      <c r="F85" s="949"/>
      <c r="G85" s="949">
        <f>IFERROR(Staff!H274/G71,0)</f>
        <v>51500</v>
      </c>
      <c r="H85" s="949">
        <f>IFERROR(Staff!I274/H71,0)</f>
        <v>51500</v>
      </c>
      <c r="I85" s="949">
        <f>IFERROR(Staff!J274/I71,0)</f>
        <v>51000</v>
      </c>
      <c r="J85" s="949">
        <f>IFERROR(Staff!K274/J71,0)</f>
        <v>50750</v>
      </c>
      <c r="K85" s="949">
        <f>IFERROR(Staff!L274/K71,0)</f>
        <v>50750</v>
      </c>
      <c r="L85" s="949">
        <f>IFERROR(Staff!M274/L71,0)</f>
        <v>50750</v>
      </c>
      <c r="M85" s="42"/>
      <c r="O85" s="541"/>
      <c r="P85" s="80" t="s">
        <v>118</v>
      </c>
      <c r="Q85" s="80" t="s">
        <v>118</v>
      </c>
    </row>
    <row r="86" spans="1:17">
      <c r="A86" s="742">
        <f>ROW()</f>
        <v>86</v>
      </c>
      <c r="B86" s="668" t="s">
        <v>189</v>
      </c>
      <c r="C86" s="736">
        <f t="shared" si="41"/>
        <v>49855.502392344497</v>
      </c>
      <c r="D86" s="736"/>
      <c r="E86" s="489"/>
      <c r="F86" s="949"/>
      <c r="G86" s="949">
        <f>IFERROR(Staff!H383/G72,0)</f>
        <v>49833.333333333336</v>
      </c>
      <c r="H86" s="949">
        <f>IFERROR(Staff!I383/H72,0)</f>
        <v>49866.666666666664</v>
      </c>
      <c r="I86" s="949">
        <f>IFERROR(Staff!J383/I72,0)</f>
        <v>49842.105263157893</v>
      </c>
      <c r="J86" s="949">
        <f>IFERROR(Staff!K383/J72,0)</f>
        <v>49863.63636363636</v>
      </c>
      <c r="K86" s="949">
        <f>IFERROR(Staff!L383/K72,0)</f>
        <v>49863.63636363636</v>
      </c>
      <c r="L86" s="949">
        <f>IFERROR(Staff!M383/L72,0)</f>
        <v>49863.63636363636</v>
      </c>
      <c r="M86" s="42"/>
      <c r="O86" s="541"/>
      <c r="P86" s="80" t="s">
        <v>118</v>
      </c>
      <c r="Q86" s="80" t="s">
        <v>118</v>
      </c>
    </row>
    <row r="87" spans="1:17">
      <c r="A87" s="742">
        <f>ROW()</f>
        <v>87</v>
      </c>
      <c r="B87" s="668" t="s">
        <v>190</v>
      </c>
      <c r="C87" s="736">
        <f t="shared" si="41"/>
        <v>470.78438659147878</v>
      </c>
      <c r="D87" s="736"/>
      <c r="E87" s="489"/>
      <c r="F87" s="949"/>
      <c r="G87" s="949">
        <f>IFERROR(+G16/G73,0)</f>
        <v>447.75600000000009</v>
      </c>
      <c r="H87" s="949">
        <f t="shared" ref="H87:L87" si="42">IFERROR(+H16/H73,0)</f>
        <v>471.32210526315805</v>
      </c>
      <c r="I87" s="949">
        <f t="shared" si="42"/>
        <v>466.41250000000008</v>
      </c>
      <c r="J87" s="949">
        <f t="shared" si="42"/>
        <v>479.7385714285715</v>
      </c>
      <c r="K87" s="949">
        <f t="shared" si="42"/>
        <v>479.7385714285715</v>
      </c>
      <c r="L87" s="949">
        <f t="shared" si="42"/>
        <v>479.7385714285715</v>
      </c>
      <c r="M87" s="42"/>
      <c r="O87" s="541"/>
      <c r="P87" s="80" t="s">
        <v>118</v>
      </c>
      <c r="Q87" s="80" t="s">
        <v>118</v>
      </c>
    </row>
    <row r="88" spans="1:17">
      <c r="A88" s="742">
        <f>ROW()</f>
        <v>88</v>
      </c>
      <c r="B88" s="668"/>
      <c r="C88" s="671"/>
      <c r="D88" s="671"/>
      <c r="E88" s="489"/>
      <c r="F88" s="949"/>
      <c r="G88" s="949"/>
      <c r="H88" s="949"/>
      <c r="I88" s="949"/>
      <c r="J88" s="949"/>
      <c r="K88" s="949"/>
      <c r="L88" s="949"/>
      <c r="M88" s="42"/>
      <c r="O88" s="541"/>
      <c r="P88" s="80" t="s">
        <v>118</v>
      </c>
      <c r="Q88" s="80" t="s">
        <v>118</v>
      </c>
    </row>
    <row r="89" spans="1:17">
      <c r="A89" s="742">
        <f>ROW()</f>
        <v>89</v>
      </c>
      <c r="B89" s="668" t="s">
        <v>191</v>
      </c>
      <c r="C89" s="736">
        <f>AVERAGE(G89:L89)</f>
        <v>10822.302916486578</v>
      </c>
      <c r="D89" s="736"/>
      <c r="E89" s="672"/>
      <c r="F89" s="969"/>
      <c r="G89" s="969">
        <f>IFERROR(G32/G66,0)</f>
        <v>12492.015954583334</v>
      </c>
      <c r="H89" s="969">
        <f>IFERROR(H32/H66,0)</f>
        <v>10492.514413693416</v>
      </c>
      <c r="I89" s="969">
        <f t="shared" ref="I89:L89" si="43">IFERROR(I32/I66,0)</f>
        <v>10406.672881086586</v>
      </c>
      <c r="J89" s="969">
        <f t="shared" si="43"/>
        <v>10352.572970459812</v>
      </c>
      <c r="K89" s="969">
        <f t="shared" si="43"/>
        <v>10585.334528437055</v>
      </c>
      <c r="L89" s="969">
        <f t="shared" si="43"/>
        <v>10604.706750659278</v>
      </c>
      <c r="M89" s="42"/>
      <c r="O89" s="541"/>
      <c r="P89" s="80" t="s">
        <v>118</v>
      </c>
      <c r="Q89" s="80" t="s">
        <v>118</v>
      </c>
    </row>
    <row r="90" spans="1:17">
      <c r="A90" s="742">
        <f>ROW()</f>
        <v>90</v>
      </c>
      <c r="B90" s="644" t="s">
        <v>192</v>
      </c>
      <c r="C90" s="736">
        <f>AVERAGE(G90:L90)</f>
        <v>9660.6413636967754</v>
      </c>
      <c r="D90" s="736"/>
      <c r="E90" s="672"/>
      <c r="F90" s="952"/>
      <c r="G90" s="952">
        <f>IFERROR(G45/G66,0)</f>
        <v>11576.609722222222</v>
      </c>
      <c r="H90" s="952">
        <f t="shared" ref="H90:L90" si="44">IFERROR(H45/H66,0)</f>
        <v>9837.5993974999983</v>
      </c>
      <c r="I90" s="952">
        <f t="shared" si="44"/>
        <v>9876.564759736666</v>
      </c>
      <c r="J90" s="952">
        <f t="shared" si="44"/>
        <v>8924.3775504546793</v>
      </c>
      <c r="K90" s="952">
        <f t="shared" si="44"/>
        <v>8842.945937509734</v>
      </c>
      <c r="L90" s="952">
        <f t="shared" si="44"/>
        <v>8905.7508147573499</v>
      </c>
      <c r="M90" s="42"/>
      <c r="O90" s="541"/>
      <c r="P90" s="80" t="s">
        <v>118</v>
      </c>
      <c r="Q90" s="80" t="s">
        <v>118</v>
      </c>
    </row>
    <row r="91" spans="1:17">
      <c r="A91" s="742">
        <f>ROW()</f>
        <v>91</v>
      </c>
      <c r="B91" s="1828" t="s">
        <v>193</v>
      </c>
      <c r="C91" s="738">
        <f>AVERAGE(G91:L91)</f>
        <v>1161.6615527898055</v>
      </c>
      <c r="D91" s="738"/>
      <c r="E91" s="673"/>
      <c r="F91" s="1829"/>
      <c r="G91" s="1830">
        <f t="shared" ref="G91:L91" si="45">+G89-G90</f>
        <v>915.40623236111242</v>
      </c>
      <c r="H91" s="1830">
        <f t="shared" si="45"/>
        <v>654.91501619341761</v>
      </c>
      <c r="I91" s="1830">
        <f t="shared" si="45"/>
        <v>530.10812134992011</v>
      </c>
      <c r="J91" s="1830">
        <f t="shared" si="45"/>
        <v>1428.1954200051332</v>
      </c>
      <c r="K91" s="1830">
        <f t="shared" si="45"/>
        <v>1742.3885909273213</v>
      </c>
      <c r="L91" s="1829">
        <f t="shared" si="45"/>
        <v>1698.9559359019277</v>
      </c>
      <c r="M91" s="42"/>
      <c r="O91" s="541"/>
      <c r="P91" s="80" t="s">
        <v>118</v>
      </c>
      <c r="Q91" s="80" t="s">
        <v>118</v>
      </c>
    </row>
    <row r="92" spans="1:17">
      <c r="A92" s="742">
        <f>ROW()</f>
        <v>92</v>
      </c>
      <c r="B92" s="644" t="s">
        <v>194</v>
      </c>
      <c r="C92" s="1080">
        <f>MAX(G92:L92)</f>
        <v>20490</v>
      </c>
      <c r="D92" s="735"/>
      <c r="E92" s="489"/>
      <c r="F92" s="952"/>
      <c r="G92" s="952">
        <f>Facilities!G87</f>
        <v>15990</v>
      </c>
      <c r="H92" s="952">
        <f>Facilities!H87</f>
        <v>17490</v>
      </c>
      <c r="I92" s="952">
        <f>Facilities!I87</f>
        <v>18990</v>
      </c>
      <c r="J92" s="952">
        <f>Facilities!J87</f>
        <v>20490</v>
      </c>
      <c r="K92" s="952">
        <f>Facilities!K87</f>
        <v>20490</v>
      </c>
      <c r="L92" s="952">
        <f>Facilities!L87</f>
        <v>20490</v>
      </c>
      <c r="M92" s="42"/>
      <c r="O92" s="541"/>
      <c r="P92" s="80" t="s">
        <v>118</v>
      </c>
      <c r="Q92" s="80" t="s">
        <v>118</v>
      </c>
    </row>
    <row r="93" spans="1:17">
      <c r="A93" s="742">
        <f>ROW()</f>
        <v>93</v>
      </c>
      <c r="B93" s="644" t="s">
        <v>195</v>
      </c>
      <c r="C93" s="739">
        <f>MIN(G93:L93)</f>
        <v>56.916666666666664</v>
      </c>
      <c r="D93" s="739"/>
      <c r="E93" s="489"/>
      <c r="F93" s="952"/>
      <c r="G93" s="952">
        <f>IFERROR(G92/G66,0)</f>
        <v>88.833333333333329</v>
      </c>
      <c r="H93" s="952">
        <f t="shared" ref="H93:L93" si="46">IFERROR(H92/H66,0)</f>
        <v>72.875</v>
      </c>
      <c r="I93" s="952">
        <f t="shared" si="46"/>
        <v>63.3</v>
      </c>
      <c r="J93" s="952">
        <f t="shared" si="46"/>
        <v>56.916666666666664</v>
      </c>
      <c r="K93" s="952">
        <f t="shared" si="46"/>
        <v>56.916666666666664</v>
      </c>
      <c r="L93" s="952">
        <f t="shared" si="46"/>
        <v>56.916666666666664</v>
      </c>
      <c r="M93" s="42"/>
      <c r="O93" s="541"/>
      <c r="P93" s="80" t="s">
        <v>118</v>
      </c>
      <c r="Q93" s="80" t="s">
        <v>118</v>
      </c>
    </row>
    <row r="94" spans="1:17">
      <c r="A94" s="742">
        <f>ROW()</f>
        <v>94</v>
      </c>
      <c r="B94" s="644" t="s">
        <v>196</v>
      </c>
      <c r="C94" s="739">
        <f>MIN(G94:L94)</f>
        <v>51.87341772151899</v>
      </c>
      <c r="D94" s="739"/>
      <c r="E94" s="489"/>
      <c r="F94" s="952"/>
      <c r="G94" s="952">
        <f>IFERROR(+G92/G68,0)</f>
        <v>80.35175879396985</v>
      </c>
      <c r="H94" s="952">
        <f t="shared" ref="H94:L94" si="47">IFERROR(+H92/H68,0)</f>
        <v>66.50190114068441</v>
      </c>
      <c r="I94" s="952">
        <f t="shared" si="47"/>
        <v>57.545454545454547</v>
      </c>
      <c r="J94" s="952">
        <f t="shared" si="47"/>
        <v>52.005076142131976</v>
      </c>
      <c r="K94" s="952">
        <f t="shared" si="47"/>
        <v>52.005076142131976</v>
      </c>
      <c r="L94" s="952">
        <f t="shared" si="47"/>
        <v>51.87341772151899</v>
      </c>
      <c r="M94" s="42"/>
      <c r="O94" s="541"/>
      <c r="P94" s="80" t="s">
        <v>118</v>
      </c>
      <c r="Q94" s="80" t="s">
        <v>118</v>
      </c>
    </row>
    <row r="95" spans="1:17">
      <c r="A95" s="742">
        <f>ROW()</f>
        <v>95</v>
      </c>
      <c r="B95" s="46"/>
      <c r="C95" s="46"/>
      <c r="D95" s="46"/>
      <c r="E95" s="46"/>
      <c r="F95" s="781"/>
      <c r="G95" s="781"/>
      <c r="H95" s="781"/>
      <c r="I95" s="781"/>
      <c r="J95" s="781"/>
      <c r="K95" s="781"/>
      <c r="L95" s="781"/>
      <c r="M95" s="42"/>
      <c r="O95" s="541"/>
      <c r="P95" s="80" t="s">
        <v>118</v>
      </c>
      <c r="Q95" s="80" t="s">
        <v>118</v>
      </c>
    </row>
    <row r="96" spans="1:17" ht="18">
      <c r="A96" s="742">
        <f>ROW()</f>
        <v>96</v>
      </c>
      <c r="B96" s="1431" t="s">
        <v>197</v>
      </c>
      <c r="C96" s="1432"/>
      <c r="D96" s="1432"/>
      <c r="E96" s="1432"/>
      <c r="F96" s="1433" t="str">
        <f t="shared" ref="F96:L96" si="48">F6</f>
        <v>SY 0/Incu</v>
      </c>
      <c r="G96" s="1434">
        <f t="shared" si="48"/>
        <v>1</v>
      </c>
      <c r="H96" s="1434">
        <f t="shared" si="48"/>
        <v>2</v>
      </c>
      <c r="I96" s="1434">
        <f t="shared" si="48"/>
        <v>3</v>
      </c>
      <c r="J96" s="1434">
        <f t="shared" si="48"/>
        <v>4</v>
      </c>
      <c r="K96" s="1434">
        <f t="shared" si="48"/>
        <v>5</v>
      </c>
      <c r="L96" s="1434">
        <f t="shared" si="48"/>
        <v>6</v>
      </c>
      <c r="M96" s="42"/>
      <c r="O96" s="541"/>
      <c r="P96" s="80" t="s">
        <v>118</v>
      </c>
      <c r="Q96" s="80" t="s">
        <v>118</v>
      </c>
    </row>
    <row r="97" spans="1:17">
      <c r="A97" s="742">
        <f>ROW()</f>
        <v>97</v>
      </c>
      <c r="B97" s="1831" t="s">
        <v>122</v>
      </c>
      <c r="C97" s="1435"/>
      <c r="D97" s="1435"/>
      <c r="E97" s="1435"/>
      <c r="F97" s="1832"/>
      <c r="G97" s="1832"/>
      <c r="H97" s="1832"/>
      <c r="I97" s="1832"/>
      <c r="J97" s="1832"/>
      <c r="K97" s="1832"/>
      <c r="L97" s="1832"/>
      <c r="M97" s="42"/>
      <c r="O97" s="541"/>
      <c r="P97" s="80" t="s">
        <v>118</v>
      </c>
      <c r="Q97" s="80" t="s">
        <v>118</v>
      </c>
    </row>
    <row r="98" spans="1:17">
      <c r="A98" s="742">
        <f>ROW()</f>
        <v>98</v>
      </c>
      <c r="B98" s="42" t="s">
        <v>1226</v>
      </c>
      <c r="C98" s="647">
        <f>IFERROR(C13/C$32,)</f>
        <v>0.73985982210703172</v>
      </c>
      <c r="D98" s="647"/>
      <c r="E98" s="647"/>
      <c r="F98" s="970">
        <f t="shared" ref="F98:G115" si="49">IF(F13&gt;0,F13/F$32,0)</f>
        <v>0</v>
      </c>
      <c r="G98" s="970">
        <f t="shared" si="49"/>
        <v>0.57978458611739547</v>
      </c>
      <c r="H98" s="970">
        <f t="shared" ref="H98:L98" si="50">IF(H13&gt;0,H13/H$32,0)</f>
        <v>0.7693343138541282</v>
      </c>
      <c r="I98" s="970">
        <f t="shared" si="50"/>
        <v>0.78053071231153026</v>
      </c>
      <c r="J98" s="970">
        <f t="shared" si="50"/>
        <v>0.78786005820426941</v>
      </c>
      <c r="K98" s="970">
        <f t="shared" si="50"/>
        <v>0.78643083529582569</v>
      </c>
      <c r="L98" s="970">
        <f t="shared" si="50"/>
        <v>0.78499421726743823</v>
      </c>
      <c r="M98" s="42"/>
      <c r="O98" s="541"/>
      <c r="P98" s="80" t="s">
        <v>118</v>
      </c>
      <c r="Q98" s="80" t="s">
        <v>118</v>
      </c>
    </row>
    <row r="99" spans="1:17">
      <c r="A99" s="742">
        <f>ROW()</f>
        <v>99</v>
      </c>
      <c r="B99" s="42" t="s">
        <v>1235</v>
      </c>
      <c r="C99" s="1487">
        <f t="shared" ref="C99:C114" si="51">IFERROR(C14/C$32,)</f>
        <v>-9.2482477763378961E-3</v>
      </c>
      <c r="D99" s="647"/>
      <c r="E99" s="647"/>
      <c r="F99" s="970">
        <f t="shared" si="49"/>
        <v>0</v>
      </c>
      <c r="G99" s="970">
        <f t="shared" si="49"/>
        <v>0</v>
      </c>
      <c r="H99" s="970">
        <f t="shared" ref="H99:L99" si="52">IF(H14&gt;0,H14/H$32,0)</f>
        <v>0</v>
      </c>
      <c r="I99" s="970">
        <f t="shared" si="52"/>
        <v>0</v>
      </c>
      <c r="J99" s="970">
        <f t="shared" si="52"/>
        <v>0</v>
      </c>
      <c r="K99" s="970">
        <f t="shared" si="52"/>
        <v>0</v>
      </c>
      <c r="L99" s="970">
        <f t="shared" si="52"/>
        <v>0</v>
      </c>
      <c r="M99" s="42"/>
      <c r="O99" s="541"/>
      <c r="P99" s="80" t="s">
        <v>118</v>
      </c>
      <c r="Q99" s="80" t="s">
        <v>118</v>
      </c>
    </row>
    <row r="100" spans="1:17">
      <c r="A100" s="742">
        <f>ROW()</f>
        <v>100</v>
      </c>
      <c r="B100" s="42" t="s">
        <v>135</v>
      </c>
      <c r="C100" s="647">
        <f t="shared" si="51"/>
        <v>2.6463026079939597E-2</v>
      </c>
      <c r="D100" s="647"/>
      <c r="E100" s="647"/>
      <c r="F100" s="970">
        <f t="shared" si="49"/>
        <v>0</v>
      </c>
      <c r="G100" s="970">
        <f t="shared" si="49"/>
        <v>2.3236569746254536E-2</v>
      </c>
      <c r="H100" s="970">
        <f t="shared" ref="H100:L100" si="53">IF(H15&gt;0,H15/H$32,0)</f>
        <v>2.7664636764394308E-2</v>
      </c>
      <c r="I100" s="970">
        <f t="shared" si="53"/>
        <v>2.7892834080289843E-2</v>
      </c>
      <c r="J100" s="970">
        <f t="shared" si="53"/>
        <v>2.8038594929807828E-2</v>
      </c>
      <c r="K100" s="970">
        <f t="shared" si="53"/>
        <v>2.7422052578517726E-2</v>
      </c>
      <c r="L100" s="970">
        <f t="shared" si="53"/>
        <v>2.7371959152190074E-2</v>
      </c>
      <c r="M100" s="647"/>
      <c r="O100" s="541"/>
      <c r="P100" s="80" t="s">
        <v>118</v>
      </c>
      <c r="Q100" s="80" t="s">
        <v>118</v>
      </c>
    </row>
    <row r="101" spans="1:17">
      <c r="A101" s="742">
        <f>ROW()</f>
        <v>101</v>
      </c>
      <c r="B101" s="42" t="s">
        <v>128</v>
      </c>
      <c r="C101" s="647">
        <f t="shared" si="51"/>
        <v>3.4016930768314443E-3</v>
      </c>
      <c r="D101" s="647"/>
      <c r="E101" s="647"/>
      <c r="F101" s="970">
        <f t="shared" si="49"/>
        <v>0</v>
      </c>
      <c r="G101" s="970">
        <f t="shared" si="49"/>
        <v>2.9869478341732203E-3</v>
      </c>
      <c r="H101" s="970">
        <f t="shared" ref="H101:L101" si="54">IF(H16&gt;0,H16/H$32,0)</f>
        <v>3.5561542761670274E-3</v>
      </c>
      <c r="I101" s="970">
        <f t="shared" si="54"/>
        <v>3.5854879293663413E-3</v>
      </c>
      <c r="J101" s="970">
        <f t="shared" si="54"/>
        <v>3.6042247764366867E-3</v>
      </c>
      <c r="K101" s="970">
        <f t="shared" si="54"/>
        <v>3.5249712609233277E-3</v>
      </c>
      <c r="L101" s="970">
        <f t="shared" si="54"/>
        <v>3.5185319950200716E-3</v>
      </c>
      <c r="M101" s="647"/>
      <c r="O101" s="541"/>
      <c r="P101" s="80" t="s">
        <v>118</v>
      </c>
      <c r="Q101" s="80" t="s">
        <v>118</v>
      </c>
    </row>
    <row r="102" spans="1:17">
      <c r="A102" s="742">
        <f>ROW()</f>
        <v>102</v>
      </c>
      <c r="B102" s="42" t="s">
        <v>129</v>
      </c>
      <c r="C102" s="647">
        <f t="shared" si="51"/>
        <v>4.9229873274434649E-3</v>
      </c>
      <c r="D102" s="647"/>
      <c r="E102" s="647"/>
      <c r="F102" s="970">
        <f t="shared" si="49"/>
        <v>0</v>
      </c>
      <c r="G102" s="970">
        <f t="shared" si="49"/>
        <v>4.3227610496436603E-3</v>
      </c>
      <c r="H102" s="970">
        <f t="shared" ref="H102:L102" si="55">IF(H17&gt;0,H17/H$32,0)</f>
        <v>5.1465261681724727E-3</v>
      </c>
      <c r="I102" s="970">
        <f t="shared" si="55"/>
        <v>5.188978323527522E-3</v>
      </c>
      <c r="J102" s="970">
        <f t="shared" si="55"/>
        <v>5.2160946031565699E-3</v>
      </c>
      <c r="K102" s="970">
        <f t="shared" si="55"/>
        <v>5.1013975850202264E-3</v>
      </c>
      <c r="L102" s="970">
        <f t="shared" si="55"/>
        <v>5.092078571304475E-3</v>
      </c>
      <c r="M102" s="647"/>
      <c r="O102" s="541"/>
      <c r="P102" s="80" t="s">
        <v>118</v>
      </c>
      <c r="Q102" s="80" t="s">
        <v>118</v>
      </c>
    </row>
    <row r="103" spans="1:17">
      <c r="A103" s="742">
        <f>ROW()</f>
        <v>103</v>
      </c>
      <c r="B103" s="42" t="s">
        <v>130</v>
      </c>
      <c r="C103" s="647">
        <f t="shared" si="51"/>
        <v>0</v>
      </c>
      <c r="D103" s="647"/>
      <c r="E103" s="647"/>
      <c r="F103" s="970">
        <f t="shared" si="49"/>
        <v>0</v>
      </c>
      <c r="G103" s="970">
        <f t="shared" si="49"/>
        <v>0</v>
      </c>
      <c r="H103" s="970">
        <f t="shared" ref="H103:L103" si="56">IF(H18&gt;0,H18/H$32,0)</f>
        <v>0</v>
      </c>
      <c r="I103" s="970">
        <f t="shared" si="56"/>
        <v>0</v>
      </c>
      <c r="J103" s="970">
        <f t="shared" si="56"/>
        <v>0</v>
      </c>
      <c r="K103" s="970">
        <f t="shared" si="56"/>
        <v>0</v>
      </c>
      <c r="L103" s="970">
        <f t="shared" si="56"/>
        <v>0</v>
      </c>
      <c r="M103" s="647"/>
      <c r="O103" s="541"/>
      <c r="P103" s="80" t="s">
        <v>118</v>
      </c>
      <c r="Q103" s="80" t="s">
        <v>118</v>
      </c>
    </row>
    <row r="104" spans="1:17">
      <c r="A104" s="742">
        <f>ROW()</f>
        <v>104</v>
      </c>
      <c r="B104" s="42" t="s">
        <v>132</v>
      </c>
      <c r="C104" s="647">
        <f t="shared" si="51"/>
        <v>1.2377867037391105E-2</v>
      </c>
      <c r="D104" s="647"/>
      <c r="E104" s="647"/>
      <c r="F104" s="970">
        <f t="shared" si="49"/>
        <v>0</v>
      </c>
      <c r="G104" s="970">
        <f t="shared" si="49"/>
        <v>1.0868718107119056E-2</v>
      </c>
      <c r="H104" s="970">
        <f t="shared" ref="H104:L104" si="57">IF(H19&gt;0,H19/H$32,0)</f>
        <v>1.2939910744636048E-2</v>
      </c>
      <c r="I104" s="970">
        <f t="shared" si="57"/>
        <v>1.304664819884525E-2</v>
      </c>
      <c r="J104" s="970">
        <f t="shared" si="57"/>
        <v>1.3114826660716564E-2</v>
      </c>
      <c r="K104" s="970">
        <f t="shared" si="57"/>
        <v>1.2826443948016356E-2</v>
      </c>
      <c r="L104" s="970">
        <f t="shared" si="57"/>
        <v>1.2803013151830842E-2</v>
      </c>
      <c r="M104" s="647"/>
      <c r="O104" s="541"/>
      <c r="P104" s="80" t="s">
        <v>118</v>
      </c>
      <c r="Q104" s="80" t="s">
        <v>118</v>
      </c>
    </row>
    <row r="105" spans="1:17">
      <c r="A105" s="742">
        <f>ROW()</f>
        <v>105</v>
      </c>
      <c r="B105" s="42" t="s">
        <v>133</v>
      </c>
      <c r="C105" s="647">
        <f t="shared" si="51"/>
        <v>1.9207035058020679E-2</v>
      </c>
      <c r="D105" s="647"/>
      <c r="E105" s="647"/>
      <c r="F105" s="970">
        <f t="shared" si="49"/>
        <v>0</v>
      </c>
      <c r="G105" s="970">
        <f t="shared" si="49"/>
        <v>1.6865252235184744E-2</v>
      </c>
      <c r="H105" s="970">
        <f t="shared" ref="H105:L105" si="58">IF(H20&gt;0,H20/H$32,0)</f>
        <v>2.0079171845124904E-2</v>
      </c>
      <c r="I105" s="970">
        <f t="shared" si="58"/>
        <v>2.0244798929242632E-2</v>
      </c>
      <c r="J105" s="970">
        <f t="shared" si="58"/>
        <v>2.0350593094215358E-2</v>
      </c>
      <c r="K105" s="970">
        <f t="shared" si="58"/>
        <v>1.9903102677956416E-2</v>
      </c>
      <c r="L105" s="970">
        <f t="shared" si="58"/>
        <v>1.986674454594441E-2</v>
      </c>
      <c r="M105" s="647"/>
      <c r="O105" s="541"/>
      <c r="P105" s="80" t="s">
        <v>118</v>
      </c>
      <c r="Q105" s="80" t="s">
        <v>118</v>
      </c>
    </row>
    <row r="106" spans="1:17">
      <c r="A106" s="742">
        <f>ROW()</f>
        <v>106</v>
      </c>
      <c r="B106" s="42" t="s">
        <v>134</v>
      </c>
      <c r="C106" s="647">
        <f t="shared" si="51"/>
        <v>3.2819915516289752E-2</v>
      </c>
      <c r="D106" s="647"/>
      <c r="E106" s="647"/>
      <c r="F106" s="970">
        <f t="shared" si="49"/>
        <v>0</v>
      </c>
      <c r="G106" s="970">
        <f t="shared" si="49"/>
        <v>2.8818406997624394E-2</v>
      </c>
      <c r="H106" s="970">
        <f t="shared" ref="H106:L106" si="59">IF(H21&gt;0,H21/H$32,0)</f>
        <v>3.4310174454483137E-2</v>
      </c>
      <c r="I106" s="970">
        <f t="shared" si="59"/>
        <v>3.4593188823516814E-2</v>
      </c>
      <c r="J106" s="970">
        <f t="shared" si="59"/>
        <v>3.4773964021043789E-2</v>
      </c>
      <c r="K106" s="970">
        <f t="shared" si="59"/>
        <v>3.4009317233468166E-2</v>
      </c>
      <c r="L106" s="970">
        <f t="shared" si="59"/>
        <v>3.3947190475363154E-2</v>
      </c>
      <c r="M106" s="647"/>
      <c r="O106" s="541"/>
      <c r="P106" s="80" t="s">
        <v>118</v>
      </c>
      <c r="Q106" s="80" t="s">
        <v>118</v>
      </c>
    </row>
    <row r="107" spans="1:17">
      <c r="A107" s="742">
        <f>ROW()</f>
        <v>107</v>
      </c>
      <c r="B107" s="42" t="s">
        <v>140</v>
      </c>
      <c r="C107" s="647">
        <f t="shared" si="51"/>
        <v>2.0917959912754528E-2</v>
      </c>
      <c r="D107" s="647"/>
      <c r="E107" s="647"/>
      <c r="F107" s="970">
        <f t="shared" si="49"/>
        <v>0</v>
      </c>
      <c r="G107" s="970">
        <f t="shared" si="49"/>
        <v>0</v>
      </c>
      <c r="H107" s="970">
        <f t="shared" ref="H107:L107" si="60">IF(H22&gt;0,H22/H$32,0)</f>
        <v>2.0501048369232697E-2</v>
      </c>
      <c r="I107" s="970">
        <f t="shared" si="60"/>
        <v>2.2048165745750116E-2</v>
      </c>
      <c r="J107" s="970">
        <f t="shared" si="60"/>
        <v>2.3086858173517837E-2</v>
      </c>
      <c r="K107" s="970">
        <f t="shared" si="60"/>
        <v>2.7095039831712152E-2</v>
      </c>
      <c r="L107" s="970">
        <f t="shared" si="60"/>
        <v>2.7045543778206733E-2</v>
      </c>
      <c r="M107" s="647"/>
      <c r="O107" s="541"/>
      <c r="P107" s="80" t="s">
        <v>118</v>
      </c>
      <c r="Q107" s="80" t="s">
        <v>118</v>
      </c>
    </row>
    <row r="108" spans="1:17">
      <c r="A108" s="742">
        <f>ROW()</f>
        <v>108</v>
      </c>
      <c r="B108" s="42" t="s">
        <v>198</v>
      </c>
      <c r="C108" s="647">
        <f t="shared" si="51"/>
        <v>0</v>
      </c>
      <c r="D108" s="647"/>
      <c r="E108" s="647"/>
      <c r="F108" s="970">
        <f t="shared" si="49"/>
        <v>0</v>
      </c>
      <c r="G108" s="970">
        <f t="shared" si="49"/>
        <v>0</v>
      </c>
      <c r="H108" s="970">
        <f t="shared" ref="H108:L108" si="61">IF(H23&gt;0,H23/H$32,0)</f>
        <v>0</v>
      </c>
      <c r="I108" s="970">
        <f t="shared" si="61"/>
        <v>0</v>
      </c>
      <c r="J108" s="970">
        <f t="shared" si="61"/>
        <v>0</v>
      </c>
      <c r="K108" s="970">
        <f t="shared" si="61"/>
        <v>0</v>
      </c>
      <c r="L108" s="970">
        <f t="shared" si="61"/>
        <v>0</v>
      </c>
      <c r="M108" s="647"/>
      <c r="O108" s="541"/>
      <c r="P108" s="80" t="s">
        <v>118</v>
      </c>
      <c r="Q108" s="80" t="s">
        <v>118</v>
      </c>
    </row>
    <row r="109" spans="1:17">
      <c r="A109" s="742">
        <f>ROW()</f>
        <v>109</v>
      </c>
      <c r="B109" s="42" t="s">
        <v>199</v>
      </c>
      <c r="C109" s="647">
        <f t="shared" si="51"/>
        <v>5.0648017772052099E-2</v>
      </c>
      <c r="D109" s="647"/>
      <c r="E109" s="647"/>
      <c r="F109" s="970">
        <f t="shared" si="49"/>
        <v>1</v>
      </c>
      <c r="G109" s="970">
        <f t="shared" si="49"/>
        <v>0.22236425152487962</v>
      </c>
      <c r="H109" s="970">
        <f t="shared" ref="H109:L109" si="62">IF(H24&gt;0,H24/H$32,0)</f>
        <v>0</v>
      </c>
      <c r="I109" s="970">
        <f t="shared" si="62"/>
        <v>0</v>
      </c>
      <c r="J109" s="970">
        <f t="shared" si="62"/>
        <v>0</v>
      </c>
      <c r="K109" s="970">
        <f t="shared" si="62"/>
        <v>0</v>
      </c>
      <c r="L109" s="970">
        <f t="shared" si="62"/>
        <v>0</v>
      </c>
      <c r="M109" s="647"/>
      <c r="O109" s="541"/>
      <c r="P109" s="80" t="s">
        <v>118</v>
      </c>
      <c r="Q109" s="80" t="s">
        <v>118</v>
      </c>
    </row>
    <row r="110" spans="1:17">
      <c r="A110" s="742">
        <f>ROW()</f>
        <v>110</v>
      </c>
      <c r="B110" s="42" t="s">
        <v>138</v>
      </c>
      <c r="C110" s="647">
        <f t="shared" si="51"/>
        <v>0</v>
      </c>
      <c r="D110" s="647"/>
      <c r="E110" s="647"/>
      <c r="F110" s="970">
        <f t="shared" si="49"/>
        <v>0</v>
      </c>
      <c r="G110" s="970">
        <f t="shared" si="49"/>
        <v>0</v>
      </c>
      <c r="H110" s="970">
        <f t="shared" ref="H110:L110" si="63">IF(H25&gt;0,H25/H$32,0)</f>
        <v>0</v>
      </c>
      <c r="I110" s="970">
        <f t="shared" si="63"/>
        <v>0</v>
      </c>
      <c r="J110" s="970">
        <f t="shared" si="63"/>
        <v>0</v>
      </c>
      <c r="K110" s="970">
        <f t="shared" si="63"/>
        <v>0</v>
      </c>
      <c r="L110" s="970">
        <f t="shared" si="63"/>
        <v>0</v>
      </c>
      <c r="M110" s="647"/>
      <c r="O110" s="541"/>
      <c r="P110" s="80" t="s">
        <v>118</v>
      </c>
      <c r="Q110" s="80" t="s">
        <v>118</v>
      </c>
    </row>
    <row r="111" spans="1:17">
      <c r="A111" s="742">
        <f>ROW()</f>
        <v>111</v>
      </c>
      <c r="B111" s="42" t="s">
        <v>141</v>
      </c>
      <c r="C111" s="647">
        <f t="shared" si="51"/>
        <v>0</v>
      </c>
      <c r="D111" s="647"/>
      <c r="E111" s="647"/>
      <c r="F111" s="970">
        <f t="shared" si="49"/>
        <v>0</v>
      </c>
      <c r="G111" s="970">
        <f t="shared" si="49"/>
        <v>0</v>
      </c>
      <c r="H111" s="970">
        <f t="shared" ref="H111:L111" si="64">IF(H26&gt;0,H26/H$32,0)</f>
        <v>0</v>
      </c>
      <c r="I111" s="970">
        <f t="shared" si="64"/>
        <v>0</v>
      </c>
      <c r="J111" s="970">
        <f t="shared" si="64"/>
        <v>0</v>
      </c>
      <c r="K111" s="970">
        <f t="shared" si="64"/>
        <v>0</v>
      </c>
      <c r="L111" s="970">
        <f t="shared" si="64"/>
        <v>0</v>
      </c>
      <c r="M111" s="647"/>
      <c r="O111" s="541"/>
      <c r="P111" s="80" t="s">
        <v>118</v>
      </c>
      <c r="Q111" s="80" t="s">
        <v>118</v>
      </c>
    </row>
    <row r="112" spans="1:17">
      <c r="A112" s="742">
        <f>ROW()</f>
        <v>112</v>
      </c>
      <c r="B112" s="42" t="s">
        <v>142</v>
      </c>
      <c r="C112" s="647">
        <f t="shared" si="51"/>
        <v>0</v>
      </c>
      <c r="D112" s="647"/>
      <c r="E112" s="647"/>
      <c r="F112" s="970">
        <f t="shared" si="49"/>
        <v>0</v>
      </c>
      <c r="G112" s="970">
        <f t="shared" si="49"/>
        <v>0</v>
      </c>
      <c r="H112" s="970">
        <f t="shared" ref="H112:L112" si="65">IF(H27&gt;0,H27/H$32,0)</f>
        <v>0</v>
      </c>
      <c r="I112" s="970">
        <f t="shared" si="65"/>
        <v>0</v>
      </c>
      <c r="J112" s="970">
        <f t="shared" si="65"/>
        <v>0</v>
      </c>
      <c r="K112" s="970">
        <f t="shared" si="65"/>
        <v>0</v>
      </c>
      <c r="L112" s="970">
        <f t="shared" si="65"/>
        <v>0</v>
      </c>
      <c r="M112" s="647"/>
      <c r="O112" s="541"/>
      <c r="P112" s="80" t="s">
        <v>118</v>
      </c>
      <c r="Q112" s="80" t="s">
        <v>118</v>
      </c>
    </row>
    <row r="113" spans="1:17">
      <c r="A113" s="742">
        <f>ROW()</f>
        <v>113</v>
      </c>
      <c r="B113" s="42" t="s">
        <v>143</v>
      </c>
      <c r="C113" s="647">
        <f t="shared" si="51"/>
        <v>0</v>
      </c>
      <c r="D113" s="647"/>
      <c r="E113" s="647"/>
      <c r="F113" s="970">
        <f t="shared" si="49"/>
        <v>0</v>
      </c>
      <c r="G113" s="970">
        <f t="shared" si="49"/>
        <v>0</v>
      </c>
      <c r="H113" s="970">
        <f t="shared" ref="H113:L113" si="66">IF(H28&gt;0,H28/H$32,0)</f>
        <v>0</v>
      </c>
      <c r="I113" s="970">
        <f t="shared" si="66"/>
        <v>0</v>
      </c>
      <c r="J113" s="970">
        <f t="shared" si="66"/>
        <v>0</v>
      </c>
      <c r="K113" s="970">
        <f t="shared" si="66"/>
        <v>0</v>
      </c>
      <c r="L113" s="970">
        <f t="shared" si="66"/>
        <v>0</v>
      </c>
      <c r="M113" s="647"/>
      <c r="O113" s="541"/>
      <c r="P113" s="80" t="s">
        <v>118</v>
      </c>
      <c r="Q113" s="80" t="s">
        <v>118</v>
      </c>
    </row>
    <row r="114" spans="1:17">
      <c r="A114" s="742">
        <f>ROW()</f>
        <v>114</v>
      </c>
      <c r="B114" s="42" t="s">
        <v>144</v>
      </c>
      <c r="C114" s="647">
        <f t="shared" si="51"/>
        <v>0</v>
      </c>
      <c r="D114" s="647"/>
      <c r="E114" s="647"/>
      <c r="F114" s="970">
        <f t="shared" si="49"/>
        <v>0</v>
      </c>
      <c r="G114" s="970">
        <f t="shared" si="49"/>
        <v>0</v>
      </c>
      <c r="H114" s="970">
        <f t="shared" ref="H114:L114" si="67">IF(H29&gt;0,H29/H$32,0)</f>
        <v>0</v>
      </c>
      <c r="I114" s="970">
        <f t="shared" si="67"/>
        <v>0</v>
      </c>
      <c r="J114" s="970">
        <f t="shared" si="67"/>
        <v>0</v>
      </c>
      <c r="K114" s="970">
        <f t="shared" si="67"/>
        <v>0</v>
      </c>
      <c r="L114" s="970">
        <f t="shared" si="67"/>
        <v>0</v>
      </c>
      <c r="M114" s="647"/>
      <c r="O114" s="541"/>
      <c r="P114" s="80" t="s">
        <v>118</v>
      </c>
      <c r="Q114" s="80" t="s">
        <v>118</v>
      </c>
    </row>
    <row r="115" spans="1:17">
      <c r="A115" s="742">
        <f>ROW()</f>
        <v>115</v>
      </c>
      <c r="B115" s="1294" t="s">
        <v>200</v>
      </c>
      <c r="C115" s="1030">
        <f>IFERROR(C32/C$32,0)</f>
        <v>1</v>
      </c>
      <c r="D115" s="1030"/>
      <c r="E115" s="1030"/>
      <c r="F115" s="1833">
        <f t="shared" si="49"/>
        <v>0</v>
      </c>
      <c r="G115" s="1833">
        <f t="shared" si="49"/>
        <v>0</v>
      </c>
      <c r="H115" s="1833">
        <f t="shared" ref="H115:L115" si="68">IF(H30&gt;0,H30/H$32,0)</f>
        <v>0</v>
      </c>
      <c r="I115" s="1833">
        <f t="shared" si="68"/>
        <v>0</v>
      </c>
      <c r="J115" s="1833">
        <f t="shared" si="68"/>
        <v>0</v>
      </c>
      <c r="K115" s="1833">
        <f t="shared" si="68"/>
        <v>0</v>
      </c>
      <c r="L115" s="1833">
        <f t="shared" si="68"/>
        <v>0</v>
      </c>
      <c r="M115" s="647"/>
      <c r="O115" s="541"/>
      <c r="P115" s="80" t="s">
        <v>118</v>
      </c>
      <c r="Q115" s="80" t="s">
        <v>118</v>
      </c>
    </row>
    <row r="116" spans="1:17">
      <c r="A116" s="742">
        <f>ROW()</f>
        <v>116</v>
      </c>
      <c r="B116" s="42"/>
      <c r="C116" s="494"/>
      <c r="D116" s="494"/>
      <c r="E116" s="494"/>
      <c r="F116" s="782"/>
      <c r="G116" s="782"/>
      <c r="H116" s="782"/>
      <c r="I116" s="782"/>
      <c r="J116" s="782"/>
      <c r="K116" s="782"/>
      <c r="L116" s="782"/>
      <c r="M116" s="647"/>
      <c r="O116" s="541"/>
      <c r="P116" s="80" t="s">
        <v>118</v>
      </c>
      <c r="Q116" s="80" t="s">
        <v>118</v>
      </c>
    </row>
    <row r="117" spans="1:17">
      <c r="A117" s="742">
        <f>ROW()</f>
        <v>117</v>
      </c>
      <c r="B117" s="1436" t="s">
        <v>147</v>
      </c>
      <c r="C117" s="1437"/>
      <c r="D117" s="1437"/>
      <c r="E117" s="1437"/>
      <c r="F117" s="1438"/>
      <c r="G117" s="1438"/>
      <c r="H117" s="1438"/>
      <c r="I117" s="1438"/>
      <c r="J117" s="1438"/>
      <c r="K117" s="1438"/>
      <c r="L117" s="1438"/>
      <c r="M117" s="647"/>
      <c r="O117" s="541"/>
      <c r="P117" s="80" t="s">
        <v>118</v>
      </c>
      <c r="Q117" s="80" t="s">
        <v>118</v>
      </c>
    </row>
    <row r="118" spans="1:17">
      <c r="A118" s="742">
        <f>ROW()</f>
        <v>118</v>
      </c>
      <c r="B118" s="39" t="s">
        <v>148</v>
      </c>
      <c r="C118" s="652">
        <f>IFERROR(C36/C$32,0)</f>
        <v>0.58668806754874903</v>
      </c>
      <c r="D118" s="652"/>
      <c r="E118" s="652"/>
      <c r="F118" s="1003">
        <f t="shared" ref="F118:L127" si="69">IFERROR(F36/F$32,0)</f>
        <v>0</v>
      </c>
      <c r="G118" s="1003">
        <f t="shared" si="69"/>
        <v>0.56696665055457651</v>
      </c>
      <c r="H118" s="1003">
        <f t="shared" si="69"/>
        <v>0.61144801081177025</v>
      </c>
      <c r="I118" s="1003">
        <f t="shared" si="69"/>
        <v>0.63744465445079201</v>
      </c>
      <c r="J118" s="1003">
        <f t="shared" si="69"/>
        <v>0.60528546688229323</v>
      </c>
      <c r="K118" s="1003">
        <f t="shared" si="69"/>
        <v>0.59237689761935464</v>
      </c>
      <c r="L118" s="1003">
        <f t="shared" si="69"/>
        <v>0.59346872259496608</v>
      </c>
      <c r="M118" s="647"/>
      <c r="O118" s="541"/>
      <c r="P118" s="80" t="s">
        <v>118</v>
      </c>
      <c r="Q118" s="80" t="s">
        <v>118</v>
      </c>
    </row>
    <row r="119" spans="1:17">
      <c r="A119" s="742">
        <f>ROW()</f>
        <v>119</v>
      </c>
      <c r="B119" s="39" t="s">
        <v>98</v>
      </c>
      <c r="C119" s="652">
        <f t="shared" ref="C119:C126" si="70">IFERROR(C37/C$32,0)</f>
        <v>8.860185921558747E-2</v>
      </c>
      <c r="D119" s="652"/>
      <c r="E119" s="649"/>
      <c r="F119" s="1003">
        <f t="shared" si="69"/>
        <v>0</v>
      </c>
      <c r="G119" s="1003">
        <f t="shared" si="69"/>
        <v>0.10332435126060453</v>
      </c>
      <c r="H119" s="1003">
        <f t="shared" si="69"/>
        <v>0.10298027152797444</v>
      </c>
      <c r="I119" s="1003">
        <f t="shared" si="69"/>
        <v>9.2055912126128056E-2</v>
      </c>
      <c r="J119" s="1003">
        <f t="shared" si="69"/>
        <v>8.4948839208535576E-2</v>
      </c>
      <c r="K119" s="1003">
        <f t="shared" si="69"/>
        <v>8.4857652281306789E-2</v>
      </c>
      <c r="L119" s="1003">
        <f t="shared" si="69"/>
        <v>8.6529355851595949E-2</v>
      </c>
      <c r="M119" s="647"/>
      <c r="O119" s="541"/>
      <c r="P119" s="80" t="s">
        <v>118</v>
      </c>
      <c r="Q119" s="80" t="s">
        <v>118</v>
      </c>
    </row>
    <row r="120" spans="1:17">
      <c r="A120" s="742">
        <f>ROW()</f>
        <v>120</v>
      </c>
      <c r="B120" s="39" t="s">
        <v>149</v>
      </c>
      <c r="C120" s="652">
        <f t="shared" si="70"/>
        <v>0.13415007214045774</v>
      </c>
      <c r="D120" s="652"/>
      <c r="E120" s="649"/>
      <c r="F120" s="1003">
        <f t="shared" si="69"/>
        <v>0</v>
      </c>
      <c r="G120" s="1003">
        <f t="shared" si="69"/>
        <v>0.14230367938980321</v>
      </c>
      <c r="H120" s="1003">
        <f t="shared" si="69"/>
        <v>0.16176364602224449</v>
      </c>
      <c r="I120" s="1003">
        <f t="shared" si="69"/>
        <v>0.16488162557331917</v>
      </c>
      <c r="J120" s="1003">
        <f t="shared" si="69"/>
        <v>0.12080735450475473</v>
      </c>
      <c r="K120" s="1003">
        <f t="shared" si="69"/>
        <v>0.1245047581225871</v>
      </c>
      <c r="L120" s="1003">
        <f t="shared" si="69"/>
        <v>0.12622473726800912</v>
      </c>
      <c r="M120" s="647"/>
      <c r="O120" s="541"/>
      <c r="P120" s="80" t="s">
        <v>118</v>
      </c>
      <c r="Q120" s="80" t="s">
        <v>118</v>
      </c>
    </row>
    <row r="121" spans="1:17">
      <c r="A121" s="742">
        <f>ROW()</f>
        <v>121</v>
      </c>
      <c r="B121" s="39" t="s">
        <v>201</v>
      </c>
      <c r="C121" s="652">
        <f t="shared" si="70"/>
        <v>0</v>
      </c>
      <c r="D121" s="652"/>
      <c r="E121" s="649"/>
      <c r="F121" s="1003">
        <f t="shared" si="69"/>
        <v>0</v>
      </c>
      <c r="G121" s="1003">
        <f t="shared" si="69"/>
        <v>0</v>
      </c>
      <c r="H121" s="1003">
        <f t="shared" si="69"/>
        <v>0</v>
      </c>
      <c r="I121" s="1003">
        <f t="shared" si="69"/>
        <v>0</v>
      </c>
      <c r="J121" s="1003">
        <f t="shared" si="69"/>
        <v>0</v>
      </c>
      <c r="K121" s="1003">
        <f t="shared" si="69"/>
        <v>0</v>
      </c>
      <c r="L121" s="1003">
        <f t="shared" si="69"/>
        <v>0</v>
      </c>
      <c r="M121" s="650"/>
      <c r="O121" s="541"/>
      <c r="P121" s="80" t="s">
        <v>118</v>
      </c>
      <c r="Q121" s="80" t="s">
        <v>118</v>
      </c>
    </row>
    <row r="122" spans="1:17">
      <c r="A122" s="742">
        <f>ROW()</f>
        <v>122</v>
      </c>
      <c r="B122" s="42" t="s">
        <v>104</v>
      </c>
      <c r="C122" s="652">
        <f t="shared" si="70"/>
        <v>7.597202665807814E-4</v>
      </c>
      <c r="D122" s="647"/>
      <c r="E122" s="650"/>
      <c r="F122" s="970">
        <f t="shared" si="69"/>
        <v>0.01</v>
      </c>
      <c r="G122" s="970">
        <f t="shared" si="69"/>
        <v>8.8945700609951842E-4</v>
      </c>
      <c r="H122" s="970">
        <f t="shared" si="69"/>
        <v>7.9421700126118392E-4</v>
      </c>
      <c r="I122" s="970">
        <f t="shared" si="69"/>
        <v>6.406146078429039E-4</v>
      </c>
      <c r="J122" s="970">
        <f t="shared" si="69"/>
        <v>5.3663524723833011E-4</v>
      </c>
      <c r="K122" s="970">
        <f t="shared" si="69"/>
        <v>5.2483514249179275E-4</v>
      </c>
      <c r="L122" s="970">
        <f t="shared" si="69"/>
        <v>0</v>
      </c>
      <c r="M122" s="650"/>
      <c r="O122" s="541"/>
      <c r="P122" s="80" t="s">
        <v>118</v>
      </c>
      <c r="Q122" s="80" t="s">
        <v>118</v>
      </c>
    </row>
    <row r="123" spans="1:17">
      <c r="A123" s="742">
        <f>ROW()</f>
        <v>123</v>
      </c>
      <c r="B123" s="42" t="s">
        <v>100</v>
      </c>
      <c r="C123" s="652">
        <f t="shared" si="70"/>
        <v>4.4028169905191573E-2</v>
      </c>
      <c r="D123" s="647"/>
      <c r="E123" s="650"/>
      <c r="F123" s="970">
        <f t="shared" si="69"/>
        <v>0</v>
      </c>
      <c r="G123" s="970">
        <f t="shared" si="69"/>
        <v>0.10272338963443339</v>
      </c>
      <c r="H123" s="970">
        <f t="shared" si="69"/>
        <v>5.1021294378019715E-2</v>
      </c>
      <c r="I123" s="970">
        <f t="shared" si="69"/>
        <v>4.6160126182728287E-2</v>
      </c>
      <c r="J123" s="970">
        <f t="shared" si="69"/>
        <v>4.3734967697053047E-2</v>
      </c>
      <c r="K123" s="970">
        <f t="shared" si="69"/>
        <v>2.6417052062181895E-2</v>
      </c>
      <c r="L123" s="970">
        <f t="shared" si="69"/>
        <v>2.6732888622952262E-2</v>
      </c>
      <c r="M123" s="650"/>
      <c r="O123" s="541"/>
      <c r="P123" s="80" t="s">
        <v>118</v>
      </c>
      <c r="Q123" s="80" t="s">
        <v>118</v>
      </c>
    </row>
    <row r="124" spans="1:17">
      <c r="A124" s="742">
        <f>ROW()</f>
        <v>124</v>
      </c>
      <c r="B124" s="42" t="s">
        <v>140</v>
      </c>
      <c r="C124" s="652">
        <f t="shared" si="70"/>
        <v>0</v>
      </c>
      <c r="D124" s="647"/>
      <c r="E124" s="650"/>
      <c r="F124" s="970">
        <f t="shared" si="69"/>
        <v>0</v>
      </c>
      <c r="G124" s="970">
        <f t="shared" si="69"/>
        <v>0</v>
      </c>
      <c r="H124" s="970">
        <f t="shared" si="69"/>
        <v>0</v>
      </c>
      <c r="I124" s="970">
        <f t="shared" si="69"/>
        <v>0</v>
      </c>
      <c r="J124" s="970">
        <f t="shared" si="69"/>
        <v>0</v>
      </c>
      <c r="K124" s="970">
        <f t="shared" si="69"/>
        <v>0</v>
      </c>
      <c r="L124" s="970">
        <f t="shared" si="69"/>
        <v>0</v>
      </c>
      <c r="M124" s="650"/>
      <c r="O124" s="541"/>
      <c r="P124" s="80" t="s">
        <v>118</v>
      </c>
      <c r="Q124" s="80" t="s">
        <v>118</v>
      </c>
    </row>
    <row r="125" spans="1:17">
      <c r="A125" s="742">
        <f>ROW()</f>
        <v>125</v>
      </c>
      <c r="B125" s="42" t="s">
        <v>151</v>
      </c>
      <c r="C125" s="652">
        <f t="shared" si="70"/>
        <v>7.5526806104680511E-3</v>
      </c>
      <c r="D125" s="647"/>
      <c r="E125" s="650"/>
      <c r="F125" s="970">
        <f t="shared" si="69"/>
        <v>0</v>
      </c>
      <c r="G125" s="970">
        <f t="shared" si="69"/>
        <v>1.0513168342414845E-2</v>
      </c>
      <c r="H125" s="970">
        <f t="shared" si="69"/>
        <v>9.5752034296834286E-3</v>
      </c>
      <c r="I125" s="970">
        <f t="shared" si="69"/>
        <v>7.8778161182520099E-3</v>
      </c>
      <c r="J125" s="970">
        <f t="shared" si="69"/>
        <v>6.7311360426861042E-3</v>
      </c>
      <c r="K125" s="970">
        <f t="shared" si="69"/>
        <v>6.714787180903091E-3</v>
      </c>
      <c r="L125" s="970">
        <f t="shared" si="69"/>
        <v>6.8365713143887933E-3</v>
      </c>
      <c r="M125" s="650"/>
      <c r="O125" s="541"/>
      <c r="P125" s="80" t="s">
        <v>118</v>
      </c>
      <c r="Q125" s="80" t="s">
        <v>118</v>
      </c>
    </row>
    <row r="126" spans="1:17">
      <c r="A126" s="742">
        <f>ROW()</f>
        <v>126</v>
      </c>
      <c r="B126" s="42" t="s">
        <v>202</v>
      </c>
      <c r="C126" s="652">
        <f t="shared" si="70"/>
        <v>2.7856409774628652E-3</v>
      </c>
      <c r="D126" s="647"/>
      <c r="E126" s="650"/>
      <c r="F126" s="970">
        <f t="shared" si="69"/>
        <v>0.11</v>
      </c>
      <c r="G126" s="970">
        <f t="shared" si="69"/>
        <v>0</v>
      </c>
      <c r="H126" s="970">
        <f t="shared" si="69"/>
        <v>0</v>
      </c>
      <c r="I126" s="970">
        <f t="shared" si="69"/>
        <v>0</v>
      </c>
      <c r="J126" s="970">
        <f t="shared" si="69"/>
        <v>0</v>
      </c>
      <c r="K126" s="970">
        <f t="shared" si="69"/>
        <v>0</v>
      </c>
      <c r="L126" s="970">
        <f t="shared" si="69"/>
        <v>0</v>
      </c>
      <c r="M126" s="650"/>
      <c r="O126" s="541"/>
      <c r="P126" s="80" t="s">
        <v>118</v>
      </c>
      <c r="Q126" s="80" t="s">
        <v>118</v>
      </c>
    </row>
    <row r="127" spans="1:17" ht="15.75" thickBot="1">
      <c r="A127" s="742">
        <f>ROW()</f>
        <v>127</v>
      </c>
      <c r="B127" s="1001" t="s">
        <v>152</v>
      </c>
      <c r="C127" s="998">
        <f>IFERROR(C45/C$32,0)</f>
        <v>0.86456621066449757</v>
      </c>
      <c r="D127" s="998"/>
      <c r="E127" s="998"/>
      <c r="F127" s="1000">
        <f t="shared" si="69"/>
        <v>0.12</v>
      </c>
      <c r="G127" s="1000">
        <f t="shared" si="69"/>
        <v>0.92672069618793207</v>
      </c>
      <c r="H127" s="1000">
        <f t="shared" si="69"/>
        <v>0.93758264317095341</v>
      </c>
      <c r="I127" s="1000">
        <f t="shared" si="69"/>
        <v>0.94906074905906235</v>
      </c>
      <c r="J127" s="1000">
        <f t="shared" si="69"/>
        <v>0.86204439958256096</v>
      </c>
      <c r="K127" s="1000">
        <f t="shared" si="69"/>
        <v>0.8353959824088254</v>
      </c>
      <c r="L127" s="1000">
        <f t="shared" si="69"/>
        <v>0.83979227565191217</v>
      </c>
      <c r="M127" s="650"/>
      <c r="O127" s="541"/>
      <c r="P127" s="80" t="s">
        <v>118</v>
      </c>
      <c r="Q127" s="80" t="s">
        <v>118</v>
      </c>
    </row>
    <row r="128" spans="1:17" ht="15.75" thickBot="1">
      <c r="A128" s="742">
        <f>ROW()</f>
        <v>128</v>
      </c>
      <c r="B128" s="653" t="s">
        <v>203</v>
      </c>
      <c r="C128" s="674">
        <f>IFERROR(C47/C$32,0)</f>
        <v>0.13543378933550249</v>
      </c>
      <c r="D128" s="674"/>
      <c r="E128" s="674"/>
      <c r="F128" s="971">
        <f t="shared" ref="F128:L128" si="71">IFERROR(F47/F$32,0)</f>
        <v>0.88</v>
      </c>
      <c r="G128" s="971">
        <f t="shared" si="71"/>
        <v>7.3279303812067986E-2</v>
      </c>
      <c r="H128" s="971">
        <f t="shared" si="71"/>
        <v>6.2417356829046575E-2</v>
      </c>
      <c r="I128" s="971">
        <f t="shared" si="71"/>
        <v>5.0939250940937646E-2</v>
      </c>
      <c r="J128" s="971">
        <f t="shared" si="71"/>
        <v>0.13795560041743901</v>
      </c>
      <c r="K128" s="971">
        <f t="shared" si="71"/>
        <v>0.16460401759117463</v>
      </c>
      <c r="L128" s="971">
        <f t="shared" si="71"/>
        <v>0.1602077243480878</v>
      </c>
      <c r="M128" s="650"/>
      <c r="O128" s="541"/>
      <c r="P128" s="80" t="s">
        <v>118</v>
      </c>
      <c r="Q128" s="80" t="s">
        <v>118</v>
      </c>
    </row>
    <row r="129" spans="1:19">
      <c r="A129" s="742">
        <f>ROW()</f>
        <v>129</v>
      </c>
      <c r="B129" s="655" t="s">
        <v>155</v>
      </c>
      <c r="C129" s="1075"/>
      <c r="D129" s="1075"/>
      <c r="E129" s="1075"/>
      <c r="F129" s="958">
        <f t="shared" ref="F129:L129" si="72">+F48</f>
        <v>0</v>
      </c>
      <c r="G129" s="958">
        <f t="shared" si="72"/>
        <v>915.40623236111264</v>
      </c>
      <c r="H129" s="958">
        <f t="shared" si="72"/>
        <v>654.91501619341625</v>
      </c>
      <c r="I129" s="958">
        <f t="shared" si="72"/>
        <v>530.10812134992022</v>
      </c>
      <c r="J129" s="958">
        <f t="shared" si="72"/>
        <v>1428.1954200051337</v>
      </c>
      <c r="K129" s="958">
        <f t="shared" si="72"/>
        <v>1742.388590927321</v>
      </c>
      <c r="L129" s="958">
        <f t="shared" si="72"/>
        <v>1698.9559359019272</v>
      </c>
      <c r="M129" s="650"/>
      <c r="O129" s="541"/>
      <c r="P129" s="80" t="s">
        <v>118</v>
      </c>
      <c r="Q129" s="80" t="s">
        <v>118</v>
      </c>
    </row>
    <row r="130" spans="1:19">
      <c r="A130" s="742">
        <f>ROW()</f>
        <v>130</v>
      </c>
      <c r="B130" s="42"/>
      <c r="C130" s="75"/>
      <c r="D130" s="75"/>
      <c r="E130" s="75"/>
      <c r="F130" s="393"/>
      <c r="G130" s="393"/>
      <c r="H130" s="393"/>
      <c r="I130" s="393"/>
      <c r="J130" s="393"/>
      <c r="K130" s="393"/>
      <c r="L130" s="393"/>
      <c r="M130" s="650"/>
      <c r="O130" s="541"/>
      <c r="P130" s="80" t="s">
        <v>118</v>
      </c>
      <c r="Q130" s="80" t="s">
        <v>118</v>
      </c>
    </row>
    <row r="131" spans="1:19">
      <c r="A131" s="742">
        <f>ROW()</f>
        <v>131</v>
      </c>
      <c r="B131" s="42" t="s">
        <v>204</v>
      </c>
      <c r="C131" s="1076">
        <f>+C63</f>
        <v>0</v>
      </c>
      <c r="D131" s="1076"/>
      <c r="E131" s="1076"/>
      <c r="F131" s="393">
        <f t="shared" ref="F131:L131" si="73">+F63</f>
        <v>440000</v>
      </c>
      <c r="G131" s="393">
        <f t="shared" si="73"/>
        <v>604773.12182500027</v>
      </c>
      <c r="H131" s="393">
        <f t="shared" si="73"/>
        <v>761952.72571142018</v>
      </c>
      <c r="I131" s="393">
        <f t="shared" si="73"/>
        <v>920985.16211639624</v>
      </c>
      <c r="J131" s="393">
        <f t="shared" si="73"/>
        <v>1435135.5133182444</v>
      </c>
      <c r="K131" s="393">
        <f t="shared" si="73"/>
        <v>2062395.40605208</v>
      </c>
      <c r="L131" s="393">
        <f t="shared" si="73"/>
        <v>2674019.5429767738</v>
      </c>
      <c r="M131" s="650"/>
      <c r="O131" s="541"/>
      <c r="P131" s="80" t="s">
        <v>118</v>
      </c>
      <c r="Q131" s="80" t="s">
        <v>118</v>
      </c>
    </row>
    <row r="132" spans="1:19">
      <c r="A132" s="742">
        <f>ROW()</f>
        <v>132</v>
      </c>
      <c r="B132" s="42"/>
      <c r="C132" s="42"/>
      <c r="D132" s="42"/>
      <c r="E132" s="42"/>
      <c r="F132" s="781"/>
      <c r="G132" s="781"/>
      <c r="H132" s="781"/>
      <c r="I132" s="781"/>
      <c r="J132" s="781"/>
      <c r="K132" s="781"/>
      <c r="L132" s="781"/>
      <c r="M132" s="650"/>
      <c r="O132" s="541"/>
      <c r="P132" s="80" t="s">
        <v>118</v>
      </c>
      <c r="Q132" s="80" t="s">
        <v>118</v>
      </c>
    </row>
    <row r="133" spans="1:19" ht="18">
      <c r="A133" s="742">
        <f>ROW()</f>
        <v>133</v>
      </c>
      <c r="B133" s="1431" t="s">
        <v>205</v>
      </c>
      <c r="C133" s="1432"/>
      <c r="D133" s="1432"/>
      <c r="E133" s="1432"/>
      <c r="F133" s="1439" t="str">
        <f t="shared" ref="F133:L133" si="74">F6</f>
        <v>SY 0/Incu</v>
      </c>
      <c r="G133" s="1440">
        <f t="shared" si="74"/>
        <v>1</v>
      </c>
      <c r="H133" s="1440">
        <f t="shared" si="74"/>
        <v>2</v>
      </c>
      <c r="I133" s="1440">
        <f t="shared" si="74"/>
        <v>3</v>
      </c>
      <c r="J133" s="1440">
        <f t="shared" si="74"/>
        <v>4</v>
      </c>
      <c r="K133" s="1440">
        <f t="shared" si="74"/>
        <v>5</v>
      </c>
      <c r="L133" s="1440">
        <f t="shared" si="74"/>
        <v>6</v>
      </c>
      <c r="M133" s="650"/>
      <c r="O133" s="541"/>
      <c r="P133" s="80" t="s">
        <v>118</v>
      </c>
      <c r="Q133" s="80" t="s">
        <v>118</v>
      </c>
    </row>
    <row r="134" spans="1:19">
      <c r="A134" s="742">
        <f>ROW()</f>
        <v>134</v>
      </c>
      <c r="B134" s="1441" t="s">
        <v>122</v>
      </c>
      <c r="C134" s="1442" t="s">
        <v>206</v>
      </c>
      <c r="D134" s="1443"/>
      <c r="E134" s="1443"/>
      <c r="F134" s="1444"/>
      <c r="G134" s="1444"/>
      <c r="H134" s="1444"/>
      <c r="I134" s="1444"/>
      <c r="J134" s="1444"/>
      <c r="K134" s="1444"/>
      <c r="L134" s="1444"/>
      <c r="M134" s="650"/>
      <c r="O134" s="541"/>
      <c r="P134" s="80" t="s">
        <v>118</v>
      </c>
      <c r="Q134" s="80" t="s">
        <v>118</v>
      </c>
    </row>
    <row r="135" spans="1:19">
      <c r="A135" s="742">
        <f>ROW()</f>
        <v>135</v>
      </c>
      <c r="B135" s="42" t="str">
        <f>+B98</f>
        <v>PCFP Revenue</v>
      </c>
      <c r="C135" s="491">
        <f t="shared" ref="C135:C152" si="75">AVERAGE(G135:L135)</f>
        <v>8040.5505278283963</v>
      </c>
      <c r="D135" s="646"/>
      <c r="E135" s="647"/>
      <c r="F135" s="974"/>
      <c r="G135" s="974">
        <f>IFERROR(G13/G$66,0)</f>
        <v>7242.6783000000005</v>
      </c>
      <c r="H135" s="974">
        <f t="shared" ref="H135:L135" si="76">IFERROR(H13/H$66,0)</f>
        <v>8072.2513770633732</v>
      </c>
      <c r="I135" s="974">
        <f t="shared" si="76"/>
        <v>8122.7277966675983</v>
      </c>
      <c r="J135" s="974">
        <f t="shared" si="76"/>
        <v>8156.3787430704142</v>
      </c>
      <c r="K135" s="974">
        <f t="shared" si="76"/>
        <v>8324.6334750844981</v>
      </c>
      <c r="L135" s="974">
        <f t="shared" si="76"/>
        <v>8324.6334750844981</v>
      </c>
      <c r="M135" s="650"/>
      <c r="O135" s="541"/>
      <c r="P135" s="80" t="s">
        <v>118</v>
      </c>
      <c r="Q135" s="80" t="s">
        <v>118</v>
      </c>
      <c r="S135" s="547"/>
    </row>
    <row r="136" spans="1:19">
      <c r="A136" s="742">
        <f>ROW()</f>
        <v>136</v>
      </c>
      <c r="B136" s="42" t="str">
        <f>+B99</f>
        <v>CS Sponsorship Fee</v>
      </c>
      <c r="C136" s="72">
        <f t="shared" si="75"/>
        <v>-100.50688159785496</v>
      </c>
      <c r="D136" s="71"/>
      <c r="E136" s="647"/>
      <c r="F136" s="975"/>
      <c r="G136" s="975">
        <f>IFERROR(G14/G$66,0)</f>
        <v>-90.53347875</v>
      </c>
      <c r="H136" s="975">
        <f t="shared" ref="H136:L136" si="77">IFERROR(H14/H$66,0)</f>
        <v>-100.90314221329217</v>
      </c>
      <c r="I136" s="975">
        <f t="shared" si="77"/>
        <v>-101.53409745834499</v>
      </c>
      <c r="J136" s="975">
        <f t="shared" si="77"/>
        <v>-101.95473428838019</v>
      </c>
      <c r="K136" s="975">
        <f t="shared" si="77"/>
        <v>-104.05791843855623</v>
      </c>
      <c r="L136" s="975">
        <f t="shared" si="77"/>
        <v>-104.05791843855623</v>
      </c>
      <c r="M136" s="650"/>
      <c r="O136" s="541"/>
      <c r="P136" s="80" t="s">
        <v>118</v>
      </c>
      <c r="Q136" s="80" t="s">
        <v>118</v>
      </c>
    </row>
    <row r="137" spans="1:19">
      <c r="A137" s="742">
        <f>ROW()</f>
        <v>137</v>
      </c>
      <c r="B137" s="42" t="s">
        <v>135</v>
      </c>
      <c r="C137" s="72">
        <f t="shared" si="75"/>
        <v>209.53068321899994</v>
      </c>
      <c r="D137" s="71"/>
      <c r="E137" s="647"/>
      <c r="F137" s="975"/>
      <c r="G137" s="975">
        <f>IFERROR(G22/G$66,0)</f>
        <v>0</v>
      </c>
      <c r="H137" s="975">
        <f t="shared" ref="H137:L137" si="78">IFERROR(H22/H$66,0)</f>
        <v>215.10754550999997</v>
      </c>
      <c r="I137" s="975">
        <f t="shared" si="78"/>
        <v>229.44804854399996</v>
      </c>
      <c r="J137" s="975">
        <f t="shared" si="78"/>
        <v>239.00838389999998</v>
      </c>
      <c r="K137" s="975">
        <f t="shared" si="78"/>
        <v>286.81006067999994</v>
      </c>
      <c r="L137" s="975">
        <f t="shared" si="78"/>
        <v>286.81006067999994</v>
      </c>
      <c r="M137" s="650"/>
      <c r="O137" s="541"/>
      <c r="P137" s="80" t="s">
        <v>118</v>
      </c>
      <c r="Q137" s="80" t="s">
        <v>118</v>
      </c>
    </row>
    <row r="138" spans="1:19">
      <c r="A138" s="742">
        <f>ROW()</f>
        <v>138</v>
      </c>
      <c r="B138" s="42" t="s">
        <v>128</v>
      </c>
      <c r="C138" s="72">
        <f t="shared" si="75"/>
        <v>290.27160000000003</v>
      </c>
      <c r="D138" s="71"/>
      <c r="E138" s="647"/>
      <c r="F138" s="975"/>
      <c r="G138" s="975">
        <f>IFERROR(G15/G$66,0)</f>
        <v>290.27160000000009</v>
      </c>
      <c r="H138" s="975">
        <f t="shared" ref="H138:L138" si="79">IFERROR(H15/H$66,0)</f>
        <v>290.27160000000003</v>
      </c>
      <c r="I138" s="975">
        <f t="shared" si="79"/>
        <v>290.27160000000003</v>
      </c>
      <c r="J138" s="975">
        <f t="shared" si="79"/>
        <v>290.27160000000009</v>
      </c>
      <c r="K138" s="975">
        <f t="shared" si="79"/>
        <v>290.27160000000009</v>
      </c>
      <c r="L138" s="975">
        <f t="shared" si="79"/>
        <v>290.27160000000009</v>
      </c>
      <c r="M138" s="71"/>
      <c r="O138" s="541"/>
      <c r="P138" s="80" t="s">
        <v>118</v>
      </c>
      <c r="Q138" s="80" t="s">
        <v>118</v>
      </c>
    </row>
    <row r="139" spans="1:19">
      <c r="A139" s="742">
        <f>ROW()</f>
        <v>139</v>
      </c>
      <c r="B139" s="42" t="s">
        <v>129</v>
      </c>
      <c r="C139" s="72">
        <f t="shared" si="75"/>
        <v>37.312999999999995</v>
      </c>
      <c r="D139" s="71"/>
      <c r="E139" s="647"/>
      <c r="F139" s="975"/>
      <c r="G139" s="975">
        <f>IFERROR(G16/G$66,0)</f>
        <v>37.313000000000002</v>
      </c>
      <c r="H139" s="975">
        <f t="shared" ref="H139:L139" si="80">IFERROR(H16/H$66,0)</f>
        <v>37.313000000000009</v>
      </c>
      <c r="I139" s="975">
        <f t="shared" si="80"/>
        <v>37.313000000000002</v>
      </c>
      <c r="J139" s="975">
        <f t="shared" si="80"/>
        <v>37.313000000000002</v>
      </c>
      <c r="K139" s="975">
        <f t="shared" si="80"/>
        <v>37.313000000000002</v>
      </c>
      <c r="L139" s="975">
        <f t="shared" si="80"/>
        <v>37.313000000000002</v>
      </c>
      <c r="M139" s="71"/>
      <c r="O139" s="541"/>
      <c r="P139" s="80" t="s">
        <v>118</v>
      </c>
      <c r="Q139" s="80" t="s">
        <v>118</v>
      </c>
    </row>
    <row r="140" spans="1:19">
      <c r="A140" s="742">
        <f>ROW()</f>
        <v>140</v>
      </c>
      <c r="B140" s="42" t="s">
        <v>130</v>
      </c>
      <c r="C140" s="72">
        <f t="shared" si="75"/>
        <v>54.000000000000007</v>
      </c>
      <c r="D140" s="71"/>
      <c r="E140" s="647"/>
      <c r="F140" s="975"/>
      <c r="G140" s="975">
        <f>IFERROR(G17/G$66,0)</f>
        <v>54.000000000000007</v>
      </c>
      <c r="H140" s="975">
        <f t="shared" ref="H140:L140" si="81">IFERROR(H17/H$66,0)</f>
        <v>54.000000000000007</v>
      </c>
      <c r="I140" s="975">
        <f t="shared" si="81"/>
        <v>54.000000000000007</v>
      </c>
      <c r="J140" s="975">
        <f t="shared" si="81"/>
        <v>54.000000000000007</v>
      </c>
      <c r="K140" s="975">
        <f t="shared" si="81"/>
        <v>54.000000000000007</v>
      </c>
      <c r="L140" s="975">
        <f t="shared" si="81"/>
        <v>54.000000000000007</v>
      </c>
      <c r="M140" s="71"/>
      <c r="O140" s="541"/>
      <c r="P140" s="80" t="s">
        <v>118</v>
      </c>
      <c r="Q140" s="80" t="s">
        <v>118</v>
      </c>
    </row>
    <row r="141" spans="1:19">
      <c r="A141" s="742">
        <f>ROW()</f>
        <v>141</v>
      </c>
      <c r="B141" s="42" t="s">
        <v>132</v>
      </c>
      <c r="C141" s="71">
        <f t="shared" si="75"/>
        <v>135.77220000000003</v>
      </c>
      <c r="D141" s="71"/>
      <c r="E141" s="647"/>
      <c r="F141" s="975"/>
      <c r="G141" s="975">
        <f>IFERROR(G19/G$66,0)</f>
        <v>135.77220000000003</v>
      </c>
      <c r="H141" s="975">
        <f t="shared" ref="H141:L141" si="82">IFERROR(H19/H$66,0)</f>
        <v>135.77220000000003</v>
      </c>
      <c r="I141" s="975">
        <f t="shared" si="82"/>
        <v>135.77220000000003</v>
      </c>
      <c r="J141" s="975">
        <f t="shared" si="82"/>
        <v>135.77220000000003</v>
      </c>
      <c r="K141" s="975">
        <f t="shared" si="82"/>
        <v>135.77220000000003</v>
      </c>
      <c r="L141" s="975">
        <f t="shared" si="82"/>
        <v>135.77220000000003</v>
      </c>
      <c r="M141" s="71"/>
      <c r="O141" s="541"/>
      <c r="P141" s="80" t="s">
        <v>118</v>
      </c>
      <c r="Q141" s="80" t="s">
        <v>118</v>
      </c>
    </row>
    <row r="142" spans="1:19">
      <c r="A142" s="742">
        <f>ROW()</f>
        <v>142</v>
      </c>
      <c r="B142" s="42" t="s">
        <v>133</v>
      </c>
      <c r="C142" s="71">
        <f t="shared" si="75"/>
        <v>210.68100000000004</v>
      </c>
      <c r="D142" s="71"/>
      <c r="E142" s="647"/>
      <c r="F142" s="975"/>
      <c r="G142" s="975">
        <f>IFERROR(G20/G$66,0)</f>
        <v>210.68100000000004</v>
      </c>
      <c r="H142" s="975">
        <f t="shared" ref="H142:L142" si="83">IFERROR(H20/H$66,0)</f>
        <v>210.68100000000007</v>
      </c>
      <c r="I142" s="975">
        <f t="shared" si="83"/>
        <v>210.68100000000007</v>
      </c>
      <c r="J142" s="975">
        <f t="shared" si="83"/>
        <v>210.68100000000004</v>
      </c>
      <c r="K142" s="975">
        <f t="shared" si="83"/>
        <v>210.68100000000004</v>
      </c>
      <c r="L142" s="975">
        <f t="shared" si="83"/>
        <v>210.68100000000004</v>
      </c>
      <c r="M142" s="71"/>
      <c r="O142" s="541"/>
      <c r="P142" s="80" t="s">
        <v>118</v>
      </c>
      <c r="Q142" s="80" t="s">
        <v>118</v>
      </c>
    </row>
    <row r="143" spans="1:19">
      <c r="A143" s="742">
        <f>ROW()</f>
        <v>143</v>
      </c>
      <c r="B143" s="42" t="s">
        <v>134</v>
      </c>
      <c r="C143" s="71">
        <f t="shared" si="75"/>
        <v>360</v>
      </c>
      <c r="D143" s="71"/>
      <c r="E143" s="647"/>
      <c r="F143" s="975"/>
      <c r="G143" s="975">
        <f>IFERROR(G21/G$66,0)</f>
        <v>359.99999999999994</v>
      </c>
      <c r="H143" s="975">
        <f t="shared" ref="H143:L143" si="84">IFERROR(H21/H$66,0)</f>
        <v>359.99999999999994</v>
      </c>
      <c r="I143" s="975">
        <f t="shared" si="84"/>
        <v>360</v>
      </c>
      <c r="J143" s="975">
        <f t="shared" si="84"/>
        <v>359.99999999999994</v>
      </c>
      <c r="K143" s="975">
        <f t="shared" si="84"/>
        <v>359.99999999999994</v>
      </c>
      <c r="L143" s="975">
        <f t="shared" si="84"/>
        <v>359.99999999999994</v>
      </c>
      <c r="M143" s="71"/>
      <c r="O143" s="541"/>
      <c r="P143" s="80" t="s">
        <v>118</v>
      </c>
      <c r="Q143" s="80" t="s">
        <v>118</v>
      </c>
    </row>
    <row r="144" spans="1:19">
      <c r="A144" s="742">
        <f>ROW()</f>
        <v>144</v>
      </c>
      <c r="B144" s="42" t="s">
        <v>140</v>
      </c>
      <c r="C144" s="71">
        <f t="shared" si="75"/>
        <v>0</v>
      </c>
      <c r="D144" s="71"/>
      <c r="E144" s="647"/>
      <c r="F144" s="975"/>
      <c r="G144" s="975">
        <f>IFERROR(G27/G$66,0)</f>
        <v>0</v>
      </c>
      <c r="H144" s="975">
        <f t="shared" ref="H144:L144" si="85">IFERROR(H27/H$66,0)</f>
        <v>0</v>
      </c>
      <c r="I144" s="975">
        <f t="shared" si="85"/>
        <v>0</v>
      </c>
      <c r="J144" s="975">
        <f t="shared" si="85"/>
        <v>0</v>
      </c>
      <c r="K144" s="975">
        <f t="shared" si="85"/>
        <v>0</v>
      </c>
      <c r="L144" s="975">
        <f t="shared" si="85"/>
        <v>0</v>
      </c>
      <c r="M144" s="71"/>
      <c r="O144" s="541"/>
      <c r="P144" s="80" t="s">
        <v>118</v>
      </c>
      <c r="Q144" s="80" t="s">
        <v>118</v>
      </c>
    </row>
    <row r="145" spans="1:17">
      <c r="A145" s="742">
        <f>ROW()</f>
        <v>145</v>
      </c>
      <c r="B145" s="42" t="s">
        <v>198</v>
      </c>
      <c r="C145" s="71">
        <f t="shared" si="75"/>
        <v>0</v>
      </c>
      <c r="D145" s="71"/>
      <c r="E145" s="647"/>
      <c r="F145" s="975"/>
      <c r="G145" s="975">
        <f>IFERROR(G23/G$66,0)</f>
        <v>0</v>
      </c>
      <c r="H145" s="975">
        <f t="shared" ref="H145:L145" si="86">IFERROR(H23/H$66,0)</f>
        <v>0</v>
      </c>
      <c r="I145" s="975">
        <f t="shared" si="86"/>
        <v>0</v>
      </c>
      <c r="J145" s="975">
        <f t="shared" si="86"/>
        <v>0</v>
      </c>
      <c r="K145" s="975">
        <f t="shared" si="86"/>
        <v>0</v>
      </c>
      <c r="L145" s="975">
        <f t="shared" si="86"/>
        <v>0</v>
      </c>
      <c r="M145" s="71"/>
      <c r="O145" s="541"/>
      <c r="P145" s="80" t="s">
        <v>118</v>
      </c>
      <c r="Q145" s="80" t="s">
        <v>118</v>
      </c>
    </row>
    <row r="146" spans="1:17">
      <c r="A146" s="742">
        <f>ROW()</f>
        <v>146</v>
      </c>
      <c r="B146" s="42" t="s">
        <v>199</v>
      </c>
      <c r="C146" s="71">
        <f t="shared" si="75"/>
        <v>462.96296296296299</v>
      </c>
      <c r="D146" s="71"/>
      <c r="E146" s="647"/>
      <c r="F146" s="975"/>
      <c r="G146" s="975">
        <f>IFERROR(G24/G$66,0)</f>
        <v>2777.7777777777778</v>
      </c>
      <c r="H146" s="975">
        <f t="shared" ref="H146:L146" si="87">IFERROR(H24/H$66,0)</f>
        <v>0</v>
      </c>
      <c r="I146" s="975">
        <f t="shared" si="87"/>
        <v>0</v>
      </c>
      <c r="J146" s="975">
        <f t="shared" si="87"/>
        <v>0</v>
      </c>
      <c r="K146" s="975">
        <f t="shared" si="87"/>
        <v>0</v>
      </c>
      <c r="L146" s="975">
        <f t="shared" si="87"/>
        <v>0</v>
      </c>
      <c r="M146" s="71"/>
      <c r="O146" s="541"/>
      <c r="P146" s="80" t="s">
        <v>118</v>
      </c>
      <c r="Q146" s="80" t="s">
        <v>118</v>
      </c>
    </row>
    <row r="147" spans="1:17">
      <c r="A147" s="742">
        <f>ROW()</f>
        <v>147</v>
      </c>
      <c r="B147" s="42" t="s">
        <v>138</v>
      </c>
      <c r="C147" s="71">
        <f t="shared" si="75"/>
        <v>0</v>
      </c>
      <c r="D147" s="71"/>
      <c r="E147" s="647"/>
      <c r="F147" s="952"/>
      <c r="G147" s="952">
        <f>IFERROR(G25/G$66,0)</f>
        <v>0</v>
      </c>
      <c r="H147" s="952">
        <f t="shared" ref="H147:L147" si="88">IFERROR(H25/H$66,0)</f>
        <v>0</v>
      </c>
      <c r="I147" s="952">
        <f t="shared" si="88"/>
        <v>0</v>
      </c>
      <c r="J147" s="952">
        <f t="shared" si="88"/>
        <v>0</v>
      </c>
      <c r="K147" s="952">
        <f t="shared" si="88"/>
        <v>0</v>
      </c>
      <c r="L147" s="952">
        <f t="shared" si="88"/>
        <v>0</v>
      </c>
      <c r="M147" s="72"/>
      <c r="O147" s="541"/>
      <c r="P147" s="80" t="s">
        <v>118</v>
      </c>
      <c r="Q147" s="80" t="s">
        <v>118</v>
      </c>
    </row>
    <row r="148" spans="1:17">
      <c r="A148" s="742">
        <f>ROW()</f>
        <v>148</v>
      </c>
      <c r="B148" s="42" t="s">
        <v>141</v>
      </c>
      <c r="C148" s="71">
        <f t="shared" si="75"/>
        <v>0</v>
      </c>
      <c r="D148" s="71"/>
      <c r="E148" s="647"/>
      <c r="F148" s="975"/>
      <c r="G148" s="975">
        <f>IFERROR(G28/G$66,0)</f>
        <v>0</v>
      </c>
      <c r="H148" s="975">
        <f t="shared" ref="H148:L148" si="89">IFERROR(H28/H$66,0)</f>
        <v>0</v>
      </c>
      <c r="I148" s="975">
        <f t="shared" si="89"/>
        <v>0</v>
      </c>
      <c r="J148" s="975">
        <f t="shared" si="89"/>
        <v>0</v>
      </c>
      <c r="K148" s="975">
        <f t="shared" si="89"/>
        <v>0</v>
      </c>
      <c r="L148" s="975">
        <f t="shared" si="89"/>
        <v>0</v>
      </c>
      <c r="M148" s="71"/>
      <c r="O148" s="541"/>
      <c r="P148" s="80" t="s">
        <v>118</v>
      </c>
      <c r="Q148" s="80" t="s">
        <v>118</v>
      </c>
    </row>
    <row r="149" spans="1:17">
      <c r="A149" s="742">
        <f>ROW()</f>
        <v>149</v>
      </c>
      <c r="B149" s="42" t="s">
        <v>142</v>
      </c>
      <c r="C149" s="71">
        <f t="shared" si="75"/>
        <v>0</v>
      </c>
      <c r="D149" s="71"/>
      <c r="E149" s="647"/>
      <c r="F149" s="975"/>
      <c r="G149" s="975">
        <f>IFERROR(G29/G$66,0)</f>
        <v>0</v>
      </c>
      <c r="H149" s="975">
        <f t="shared" ref="H149:L149" si="90">IFERROR(H29/H$66,0)</f>
        <v>0</v>
      </c>
      <c r="I149" s="975">
        <f t="shared" si="90"/>
        <v>0</v>
      </c>
      <c r="J149" s="975">
        <f t="shared" si="90"/>
        <v>0</v>
      </c>
      <c r="K149" s="975">
        <f t="shared" si="90"/>
        <v>0</v>
      </c>
      <c r="L149" s="975">
        <f t="shared" si="90"/>
        <v>0</v>
      </c>
      <c r="M149" s="71"/>
      <c r="O149" s="541"/>
      <c r="P149" s="80" t="s">
        <v>118</v>
      </c>
      <c r="Q149" s="80" t="s">
        <v>118</v>
      </c>
    </row>
    <row r="150" spans="1:17">
      <c r="A150" s="742">
        <f>ROW()</f>
        <v>150</v>
      </c>
      <c r="B150" s="42" t="s">
        <v>143</v>
      </c>
      <c r="C150" s="71">
        <f t="shared" si="75"/>
        <v>0</v>
      </c>
      <c r="D150" s="71"/>
      <c r="E150" s="647"/>
      <c r="F150" s="975"/>
      <c r="G150" s="975">
        <f>IFERROR(G30/G$66,0)</f>
        <v>0</v>
      </c>
      <c r="H150" s="975">
        <f t="shared" ref="H150:L150" si="91">IFERROR(H30/H$66,0)</f>
        <v>0</v>
      </c>
      <c r="I150" s="975">
        <f t="shared" si="91"/>
        <v>0</v>
      </c>
      <c r="J150" s="975">
        <f t="shared" si="91"/>
        <v>0</v>
      </c>
      <c r="K150" s="975">
        <f t="shared" si="91"/>
        <v>0</v>
      </c>
      <c r="L150" s="975">
        <f t="shared" si="91"/>
        <v>0</v>
      </c>
      <c r="M150" s="71"/>
      <c r="O150" s="541"/>
      <c r="P150" s="80" t="s">
        <v>118</v>
      </c>
      <c r="Q150" s="80" t="s">
        <v>118</v>
      </c>
    </row>
    <row r="151" spans="1:17">
      <c r="A151" s="742">
        <f>ROW()</f>
        <v>151</v>
      </c>
      <c r="B151" s="42" t="s">
        <v>144</v>
      </c>
      <c r="C151" s="71">
        <f t="shared" si="75"/>
        <v>1121.7278240740741</v>
      </c>
      <c r="D151" s="71"/>
      <c r="E151" s="647"/>
      <c r="F151" s="975"/>
      <c r="G151" s="975">
        <f>IFERROR(G31/G$66,0)</f>
        <v>1474.0555555555557</v>
      </c>
      <c r="H151" s="975">
        <f t="shared" ref="H151:L151" si="92">IFERROR(H31/H$66,0)</f>
        <v>1218.0208333333333</v>
      </c>
      <c r="I151" s="975">
        <f t="shared" si="92"/>
        <v>1067.9933333333333</v>
      </c>
      <c r="J151" s="975">
        <f t="shared" si="92"/>
        <v>971.10277777777776</v>
      </c>
      <c r="K151" s="975">
        <f t="shared" si="92"/>
        <v>989.91111111111115</v>
      </c>
      <c r="L151" s="975">
        <f t="shared" si="92"/>
        <v>1009.2833333333333</v>
      </c>
      <c r="M151" s="71"/>
      <c r="O151" s="541"/>
      <c r="P151" s="80" t="s">
        <v>118</v>
      </c>
      <c r="Q151" s="80" t="s">
        <v>118</v>
      </c>
    </row>
    <row r="152" spans="1:17">
      <c r="A152" s="742">
        <f>ROW()</f>
        <v>152</v>
      </c>
      <c r="B152" s="39" t="s">
        <v>200</v>
      </c>
      <c r="C152" s="1073">
        <f t="shared" si="75"/>
        <v>10822.302916486578</v>
      </c>
      <c r="D152" s="1073"/>
      <c r="E152" s="1073"/>
      <c r="F152" s="1824"/>
      <c r="G152" s="1824">
        <f t="shared" ref="G152:J152" si="93">SUM(G135:G151)</f>
        <v>12492.015954583334</v>
      </c>
      <c r="H152" s="1824">
        <f t="shared" si="93"/>
        <v>10492.514413693414</v>
      </c>
      <c r="I152" s="1824">
        <f t="shared" si="93"/>
        <v>10406.672881086588</v>
      </c>
      <c r="J152" s="1824">
        <f t="shared" si="93"/>
        <v>10352.572970459812</v>
      </c>
      <c r="K152" s="1824">
        <f>SUM(K135:K151)</f>
        <v>10585.334528437052</v>
      </c>
      <c r="L152" s="1824">
        <f>SUM(L135:L151)</f>
        <v>10604.706750659274</v>
      </c>
      <c r="M152" s="71"/>
      <c r="O152" s="541"/>
      <c r="P152" s="80" t="s">
        <v>118</v>
      </c>
      <c r="Q152" s="80" t="s">
        <v>118</v>
      </c>
    </row>
    <row r="153" spans="1:17">
      <c r="A153" s="742">
        <f>ROW()</f>
        <v>153</v>
      </c>
      <c r="B153" s="42"/>
      <c r="C153" s="494"/>
      <c r="D153" s="494"/>
      <c r="E153" s="494"/>
      <c r="F153" s="781"/>
      <c r="G153" s="781"/>
      <c r="H153" s="781"/>
      <c r="I153" s="781"/>
      <c r="J153" s="781"/>
      <c r="K153" s="781"/>
      <c r="L153" s="781"/>
      <c r="M153" s="71"/>
      <c r="O153" s="541"/>
      <c r="P153" s="80" t="s">
        <v>118</v>
      </c>
      <c r="Q153" s="80" t="s">
        <v>118</v>
      </c>
    </row>
    <row r="154" spans="1:17">
      <c r="A154" s="742">
        <f>ROW()</f>
        <v>154</v>
      </c>
      <c r="B154" s="1436" t="s">
        <v>147</v>
      </c>
      <c r="C154" s="1437"/>
      <c r="D154" s="1437"/>
      <c r="E154" s="1437"/>
      <c r="F154" s="1438"/>
      <c r="G154" s="1438"/>
      <c r="H154" s="1438"/>
      <c r="I154" s="1438"/>
      <c r="J154" s="1438"/>
      <c r="K154" s="1438"/>
      <c r="L154" s="1438"/>
      <c r="M154" s="71"/>
      <c r="O154" s="541"/>
      <c r="P154" s="80" t="s">
        <v>118</v>
      </c>
      <c r="Q154" s="80" t="s">
        <v>118</v>
      </c>
    </row>
    <row r="155" spans="1:17">
      <c r="A155" s="742">
        <f>ROW()</f>
        <v>155</v>
      </c>
      <c r="B155" s="42" t="s">
        <v>148</v>
      </c>
      <c r="C155" s="1074">
        <f>AVERAGE(G155:L155)</f>
        <v>6493.698811777017</v>
      </c>
      <c r="D155" s="493"/>
      <c r="E155" s="647"/>
      <c r="F155" s="975"/>
      <c r="G155" s="975">
        <f t="shared" ref="G155:G163" si="94">IFERROR(G36/G$66,0)</f>
        <v>7082.5564444444444</v>
      </c>
      <c r="H155" s="975">
        <f t="shared" ref="H155:L155" si="95">IFERROR(H36/H$66,0)</f>
        <v>6415.6270666666669</v>
      </c>
      <c r="I155" s="975">
        <f t="shared" si="95"/>
        <v>6633.677998666667</v>
      </c>
      <c r="J155" s="975">
        <f t="shared" si="95"/>
        <v>6266.261963857778</v>
      </c>
      <c r="K155" s="975">
        <f t="shared" si="95"/>
        <v>6270.5076282185773</v>
      </c>
      <c r="L155" s="975">
        <f t="shared" si="95"/>
        <v>6293.5617688079756</v>
      </c>
      <c r="M155" s="71"/>
      <c r="O155" s="541"/>
      <c r="P155" s="80" t="s">
        <v>118</v>
      </c>
      <c r="Q155" s="80" t="s">
        <v>118</v>
      </c>
    </row>
    <row r="156" spans="1:17">
      <c r="A156" s="742">
        <f>ROW()</f>
        <v>156</v>
      </c>
      <c r="B156" s="42" t="s">
        <v>98</v>
      </c>
      <c r="C156" s="71">
        <f>AVERAGE(G156:L156)</f>
        <v>1004.0918882552846</v>
      </c>
      <c r="D156" s="71"/>
      <c r="E156" s="650"/>
      <c r="F156" s="975"/>
      <c r="G156" s="975">
        <f t="shared" si="94"/>
        <v>1290.7294444444447</v>
      </c>
      <c r="H156" s="975">
        <f t="shared" ref="H156:L156" si="96">IFERROR(H37/H$66,0)</f>
        <v>1080.5219833333333</v>
      </c>
      <c r="I156" s="975">
        <f t="shared" si="96"/>
        <v>957.99576426666681</v>
      </c>
      <c r="J156" s="975">
        <f t="shared" si="96"/>
        <v>879.43905666222224</v>
      </c>
      <c r="K156" s="975">
        <f t="shared" si="96"/>
        <v>898.24663669542224</v>
      </c>
      <c r="L156" s="975">
        <f t="shared" si="96"/>
        <v>917.6184441296183</v>
      </c>
      <c r="M156" s="71"/>
      <c r="O156" s="541"/>
      <c r="P156" s="80" t="s">
        <v>118</v>
      </c>
      <c r="Q156" s="80" t="s">
        <v>118</v>
      </c>
    </row>
    <row r="157" spans="1:17">
      <c r="A157" s="742">
        <f>ROW()</f>
        <v>157</v>
      </c>
      <c r="B157" s="42" t="s">
        <v>149</v>
      </c>
      <c r="C157" s="71">
        <f>AVERAGE(G157:L157)</f>
        <v>1516.334025611887</v>
      </c>
      <c r="D157" s="71"/>
      <c r="E157" s="650"/>
      <c r="F157" s="975"/>
      <c r="G157" s="975">
        <f t="shared" si="94"/>
        <v>1777.6598333333334</v>
      </c>
      <c r="H157" s="975">
        <f t="shared" ref="H157:L157" si="97">IFERROR(H38/H$66,0)</f>
        <v>1697.3073875</v>
      </c>
      <c r="I157" s="975">
        <f t="shared" si="97"/>
        <v>1715.8691414433333</v>
      </c>
      <c r="J157" s="975">
        <f t="shared" si="97"/>
        <v>1250.6669528786804</v>
      </c>
      <c r="K157" s="975">
        <f t="shared" si="97"/>
        <v>1317.924515109725</v>
      </c>
      <c r="L157" s="975">
        <f t="shared" si="97"/>
        <v>1338.5763234062499</v>
      </c>
      <c r="M157" s="71"/>
      <c r="O157" s="541"/>
      <c r="P157" s="80" t="s">
        <v>118</v>
      </c>
      <c r="Q157" s="80" t="s">
        <v>118</v>
      </c>
    </row>
    <row r="158" spans="1:17">
      <c r="A158" s="742">
        <f>ROW()</f>
        <v>158</v>
      </c>
      <c r="B158" s="42" t="s">
        <v>201</v>
      </c>
      <c r="C158" s="71">
        <f t="shared" ref="C158:C164" si="98">AVERAGE(G158:L158)</f>
        <v>0</v>
      </c>
      <c r="D158" s="71"/>
      <c r="E158" s="650"/>
      <c r="F158" s="975"/>
      <c r="G158" s="975">
        <f t="shared" si="94"/>
        <v>0</v>
      </c>
      <c r="H158" s="975">
        <f t="shared" ref="H158:L158" si="99">IFERROR(H39/H$66,0)</f>
        <v>0</v>
      </c>
      <c r="I158" s="975">
        <f t="shared" si="99"/>
        <v>0</v>
      </c>
      <c r="J158" s="975">
        <f t="shared" si="99"/>
        <v>0</v>
      </c>
      <c r="K158" s="975">
        <f t="shared" si="99"/>
        <v>0</v>
      </c>
      <c r="L158" s="975">
        <f t="shared" si="99"/>
        <v>0</v>
      </c>
      <c r="M158" s="71"/>
      <c r="O158" s="541"/>
      <c r="P158" s="80" t="s">
        <v>118</v>
      </c>
      <c r="Q158" s="80" t="s">
        <v>118</v>
      </c>
    </row>
    <row r="159" spans="1:17">
      <c r="A159" s="742">
        <f>ROW()</f>
        <v>159</v>
      </c>
      <c r="B159" s="42" t="s">
        <v>104</v>
      </c>
      <c r="C159" s="71">
        <f t="shared" si="98"/>
        <v>6.2037037037037033</v>
      </c>
      <c r="D159" s="71"/>
      <c r="E159" s="650"/>
      <c r="F159" s="975"/>
      <c r="G159" s="975">
        <f t="shared" si="94"/>
        <v>11.111111111111111</v>
      </c>
      <c r="H159" s="975">
        <f t="shared" ref="H159:L159" si="100">IFERROR(H40/H$66,0)</f>
        <v>8.3333333333333339</v>
      </c>
      <c r="I159" s="975">
        <f t="shared" si="100"/>
        <v>6.666666666666667</v>
      </c>
      <c r="J159" s="975">
        <f t="shared" si="100"/>
        <v>5.5555555555555554</v>
      </c>
      <c r="K159" s="975">
        <f t="shared" si="100"/>
        <v>5.5555555555555554</v>
      </c>
      <c r="L159" s="975">
        <f t="shared" si="100"/>
        <v>0</v>
      </c>
      <c r="M159" s="71"/>
      <c r="O159" s="541"/>
      <c r="P159" s="80" t="s">
        <v>118</v>
      </c>
      <c r="Q159" s="80" t="s">
        <v>118</v>
      </c>
    </row>
    <row r="160" spans="1:17">
      <c r="A160" s="742">
        <f>ROW()</f>
        <v>160</v>
      </c>
      <c r="B160" s="42" t="s">
        <v>100</v>
      </c>
      <c r="C160" s="71">
        <f>AVERAGE(G160:L160)</f>
        <v>552.47240740740745</v>
      </c>
      <c r="D160" s="71"/>
      <c r="E160" s="650"/>
      <c r="F160" s="975"/>
      <c r="G160" s="975">
        <f t="shared" si="94"/>
        <v>1283.2222222222222</v>
      </c>
      <c r="H160" s="975">
        <f t="shared" ref="H160:L160" si="101">IFERROR(H41/H$66,0)</f>
        <v>535.3416666666667</v>
      </c>
      <c r="I160" s="975">
        <f t="shared" si="101"/>
        <v>480.37333333333333</v>
      </c>
      <c r="J160" s="975">
        <f t="shared" si="101"/>
        <v>452.76944444444445</v>
      </c>
      <c r="K160" s="975">
        <f t="shared" si="101"/>
        <v>279.63333333333333</v>
      </c>
      <c r="L160" s="975">
        <f t="shared" si="101"/>
        <v>283.49444444444447</v>
      </c>
      <c r="M160" s="71"/>
      <c r="O160" s="541"/>
      <c r="P160" s="80" t="s">
        <v>118</v>
      </c>
      <c r="Q160" s="80" t="s">
        <v>118</v>
      </c>
    </row>
    <row r="161" spans="1:17">
      <c r="A161" s="742">
        <f>ROW()</f>
        <v>161</v>
      </c>
      <c r="B161" s="42" t="s">
        <v>140</v>
      </c>
      <c r="C161" s="71">
        <f t="shared" si="98"/>
        <v>0</v>
      </c>
      <c r="D161" s="71"/>
      <c r="E161" s="650"/>
      <c r="F161" s="975"/>
      <c r="G161" s="975">
        <f t="shared" si="94"/>
        <v>0</v>
      </c>
      <c r="H161" s="975">
        <f t="shared" ref="H161:L161" si="102">IFERROR(H42/H$66,0)</f>
        <v>0</v>
      </c>
      <c r="I161" s="975">
        <f t="shared" si="102"/>
        <v>0</v>
      </c>
      <c r="J161" s="975">
        <f t="shared" si="102"/>
        <v>0</v>
      </c>
      <c r="K161" s="975">
        <f t="shared" si="102"/>
        <v>0</v>
      </c>
      <c r="L161" s="975">
        <f t="shared" si="102"/>
        <v>0</v>
      </c>
      <c r="M161" s="71"/>
      <c r="O161" s="541"/>
      <c r="P161" s="80" t="s">
        <v>118</v>
      </c>
      <c r="Q161" s="80" t="s">
        <v>118</v>
      </c>
    </row>
    <row r="162" spans="1:17">
      <c r="A162" s="742">
        <f>ROW()</f>
        <v>162</v>
      </c>
      <c r="B162" s="42" t="s">
        <v>151</v>
      </c>
      <c r="C162" s="71">
        <f>AVERAGE(G162:L162)</f>
        <v>87.840526941474835</v>
      </c>
      <c r="D162" s="71"/>
      <c r="E162" s="650"/>
      <c r="F162" s="975"/>
      <c r="G162" s="975">
        <f t="shared" si="94"/>
        <v>131.33066666666667</v>
      </c>
      <c r="H162" s="975">
        <f t="shared" ref="H162:L162" si="103">IFERROR(H43/H$66,0)</f>
        <v>100.46795999999999</v>
      </c>
      <c r="I162" s="975">
        <f t="shared" si="103"/>
        <v>81.981855359999997</v>
      </c>
      <c r="J162" s="975">
        <f t="shared" si="103"/>
        <v>69.684577055999995</v>
      </c>
      <c r="K162" s="975">
        <f t="shared" si="103"/>
        <v>71.078268597120001</v>
      </c>
      <c r="L162" s="975">
        <f t="shared" si="103"/>
        <v>72.499833969062408</v>
      </c>
      <c r="M162" s="71"/>
      <c r="O162" s="541"/>
      <c r="P162" s="80" t="s">
        <v>118</v>
      </c>
      <c r="Q162" s="80" t="s">
        <v>118</v>
      </c>
    </row>
    <row r="163" spans="1:17">
      <c r="A163" s="999">
        <f>ROW()</f>
        <v>163</v>
      </c>
      <c r="B163" s="80" t="s">
        <v>202</v>
      </c>
      <c r="C163" s="92">
        <f>AVERAGE(G163:L163)</f>
        <v>0</v>
      </c>
      <c r="D163" s="92"/>
      <c r="E163" s="1002"/>
      <c r="F163" s="156"/>
      <c r="G163" s="156">
        <f t="shared" si="94"/>
        <v>0</v>
      </c>
      <c r="H163" s="156">
        <f t="shared" ref="H163:L163" si="104">IFERROR(H44/H$66,0)</f>
        <v>0</v>
      </c>
      <c r="I163" s="156">
        <f t="shared" si="104"/>
        <v>0</v>
      </c>
      <c r="J163" s="156">
        <f t="shared" si="104"/>
        <v>0</v>
      </c>
      <c r="K163" s="156">
        <f t="shared" si="104"/>
        <v>0</v>
      </c>
      <c r="L163" s="156">
        <f t="shared" si="104"/>
        <v>0</v>
      </c>
      <c r="P163" s="80" t="s">
        <v>118</v>
      </c>
      <c r="Q163" s="80" t="s">
        <v>118</v>
      </c>
    </row>
    <row r="164" spans="1:17">
      <c r="A164" s="742">
        <f>ROW()</f>
        <v>164</v>
      </c>
      <c r="B164" s="39" t="s">
        <v>152</v>
      </c>
      <c r="C164" s="1073">
        <f t="shared" si="98"/>
        <v>9660.6413636967773</v>
      </c>
      <c r="D164" s="1073"/>
      <c r="E164" s="1073"/>
      <c r="F164" s="1824"/>
      <c r="G164" s="1824">
        <f t="shared" ref="G164:L164" si="105">SUM(G155:G163)</f>
        <v>11576.609722222223</v>
      </c>
      <c r="H164" s="1824">
        <f t="shared" si="105"/>
        <v>9837.5993975000019</v>
      </c>
      <c r="I164" s="1824">
        <f t="shared" si="105"/>
        <v>9876.564759736666</v>
      </c>
      <c r="J164" s="1824">
        <f t="shared" si="105"/>
        <v>8924.3775504546793</v>
      </c>
      <c r="K164" s="1824">
        <f t="shared" si="105"/>
        <v>8842.945937509734</v>
      </c>
      <c r="L164" s="1824">
        <f t="shared" si="105"/>
        <v>8905.7508147573517</v>
      </c>
      <c r="M164" s="71"/>
      <c r="O164" s="541"/>
      <c r="P164" s="80" t="s">
        <v>118</v>
      </c>
      <c r="Q164" s="80" t="s">
        <v>118</v>
      </c>
    </row>
    <row r="165" spans="1:17" ht="15.75" thickBot="1">
      <c r="A165" s="742">
        <f>ROW()</f>
        <v>165</v>
      </c>
      <c r="B165" s="39"/>
      <c r="C165" s="651"/>
      <c r="D165" s="651"/>
      <c r="E165" s="652"/>
      <c r="F165" s="955"/>
      <c r="G165" s="955"/>
      <c r="H165" s="955"/>
      <c r="I165" s="955"/>
      <c r="J165" s="955"/>
      <c r="K165" s="955"/>
      <c r="L165" s="955"/>
      <c r="M165" s="71"/>
      <c r="O165" s="541"/>
      <c r="P165" s="80" t="s">
        <v>118</v>
      </c>
      <c r="Q165" s="80" t="s">
        <v>118</v>
      </c>
    </row>
    <row r="166" spans="1:17" ht="15.75" thickBot="1">
      <c r="A166" s="742">
        <f>ROW()</f>
        <v>166</v>
      </c>
      <c r="B166" s="653" t="s">
        <v>207</v>
      </c>
      <c r="C166" s="1078">
        <f>C152-C164</f>
        <v>1161.6615527898011</v>
      </c>
      <c r="D166" s="675"/>
      <c r="E166" s="675"/>
      <c r="F166" s="976"/>
      <c r="G166" s="1079">
        <f t="shared" ref="G166:L166" si="106">G152-G164</f>
        <v>915.4062323611106</v>
      </c>
      <c r="H166" s="1079">
        <f t="shared" si="106"/>
        <v>654.91501619341216</v>
      </c>
      <c r="I166" s="1079">
        <f t="shared" si="106"/>
        <v>530.10812134992193</v>
      </c>
      <c r="J166" s="1079">
        <f t="shared" si="106"/>
        <v>1428.1954200051332</v>
      </c>
      <c r="K166" s="1079">
        <f t="shared" si="106"/>
        <v>1742.3885909273176</v>
      </c>
      <c r="L166" s="1079">
        <f t="shared" si="106"/>
        <v>1698.9559359019222</v>
      </c>
      <c r="M166" s="71"/>
      <c r="O166" s="541"/>
      <c r="P166" s="80" t="s">
        <v>118</v>
      </c>
      <c r="Q166" s="80" t="s">
        <v>118</v>
      </c>
    </row>
    <row r="167" spans="1:17" hidden="1">
      <c r="A167" s="742">
        <f>ROW()</f>
        <v>167</v>
      </c>
      <c r="B167" s="655" t="s">
        <v>155</v>
      </c>
      <c r="C167" s="656"/>
      <c r="D167" s="656"/>
      <c r="E167" s="656"/>
      <c r="F167" s="972"/>
      <c r="G167" s="972" t="e">
        <f>G166/#REF!</f>
        <v>#REF!</v>
      </c>
      <c r="H167" s="972" t="e">
        <f>H166/#REF!</f>
        <v>#REF!</v>
      </c>
      <c r="I167" s="972" t="e">
        <f>I166/#REF!</f>
        <v>#REF!</v>
      </c>
      <c r="J167" s="972" t="e">
        <f>J166/#REF!</f>
        <v>#REF!</v>
      </c>
      <c r="K167" s="972" t="e">
        <f>K166/#REF!</f>
        <v>#REF!</v>
      </c>
      <c r="L167" s="972" t="e">
        <f>+K167</f>
        <v>#REF!</v>
      </c>
      <c r="M167" s="71"/>
      <c r="O167" s="541"/>
      <c r="P167" s="80" t="s">
        <v>118</v>
      </c>
      <c r="Q167" s="80" t="s">
        <v>118</v>
      </c>
    </row>
    <row r="168" spans="1:17" hidden="1">
      <c r="A168" s="742">
        <f>ROW()</f>
        <v>168</v>
      </c>
      <c r="B168" s="42"/>
      <c r="C168" s="42"/>
      <c r="D168" s="42"/>
      <c r="E168" s="42"/>
      <c r="F168" s="781"/>
      <c r="G168" s="781"/>
      <c r="H168" s="781"/>
      <c r="I168" s="781"/>
      <c r="J168" s="781"/>
      <c r="K168" s="781"/>
      <c r="L168" s="781"/>
      <c r="M168" s="71"/>
      <c r="O168" s="541"/>
      <c r="P168" s="80" t="s">
        <v>118</v>
      </c>
      <c r="Q168" s="80" t="s">
        <v>118</v>
      </c>
    </row>
    <row r="169" spans="1:17" hidden="1">
      <c r="A169" s="742">
        <f>ROW()</f>
        <v>169</v>
      </c>
      <c r="B169" s="42" t="s">
        <v>208</v>
      </c>
      <c r="C169" s="57">
        <f>C166</f>
        <v>1161.6615527898011</v>
      </c>
      <c r="D169" s="57"/>
      <c r="E169" s="57"/>
      <c r="F169" s="973"/>
      <c r="G169" s="973" t="e">
        <f>#REF!+G166</f>
        <v>#REF!</v>
      </c>
      <c r="H169" s="973" t="e">
        <f>#REF!+H166</f>
        <v>#REF!</v>
      </c>
      <c r="I169" s="973" t="e">
        <f>H169+I166</f>
        <v>#REF!</v>
      </c>
      <c r="J169" s="973" t="e">
        <f>I169+J166</f>
        <v>#REF!</v>
      </c>
      <c r="K169" s="973" t="e">
        <f>J169+K166</f>
        <v>#REF!</v>
      </c>
      <c r="L169" s="973" t="e">
        <f>K169+L166</f>
        <v>#REF!</v>
      </c>
      <c r="M169" s="71"/>
      <c r="O169" s="541"/>
      <c r="P169" s="80" t="s">
        <v>118</v>
      </c>
      <c r="Q169" s="80" t="s">
        <v>118</v>
      </c>
    </row>
    <row r="170" spans="1:17" hidden="1">
      <c r="A170" s="742">
        <f>ROW()</f>
        <v>170</v>
      </c>
      <c r="B170" s="42"/>
      <c r="C170" s="57"/>
      <c r="D170" s="57"/>
      <c r="E170" s="57"/>
      <c r="F170" s="973"/>
      <c r="G170" s="973"/>
      <c r="H170" s="973"/>
      <c r="I170" s="973"/>
      <c r="J170" s="973"/>
      <c r="K170" s="973"/>
      <c r="L170" s="973"/>
      <c r="M170" s="71"/>
      <c r="O170" s="541"/>
      <c r="P170" s="80" t="s">
        <v>118</v>
      </c>
      <c r="Q170" s="80" t="s">
        <v>118</v>
      </c>
    </row>
    <row r="171" spans="1:17">
      <c r="A171" s="742">
        <f>ROW()</f>
        <v>171</v>
      </c>
      <c r="B171" s="676" t="s">
        <v>209</v>
      </c>
      <c r="C171" s="677"/>
      <c r="D171" s="677"/>
      <c r="E171" s="677"/>
      <c r="F171" s="977"/>
      <c r="G171" s="1077">
        <f>IFERROR(+G166/G152,0)</f>
        <v>7.327930381206782E-2</v>
      </c>
      <c r="H171" s="1077">
        <f t="shared" ref="H171:K171" si="107">IFERROR(+H166/H152,0)</f>
        <v>6.2417356829046186E-2</v>
      </c>
      <c r="I171" s="1077">
        <f t="shared" si="107"/>
        <v>5.0939250940937805E-2</v>
      </c>
      <c r="J171" s="1077">
        <f t="shared" si="107"/>
        <v>0.13795560041743898</v>
      </c>
      <c r="K171" s="1077">
        <f t="shared" si="107"/>
        <v>0.16460401759117435</v>
      </c>
      <c r="L171" s="1077">
        <f>IFERROR(+L166/L152,0)</f>
        <v>0.16020772434808736</v>
      </c>
      <c r="M171" s="71"/>
      <c r="O171" s="541"/>
      <c r="P171" s="80" t="s">
        <v>118</v>
      </c>
      <c r="Q171" s="80" t="s">
        <v>118</v>
      </c>
    </row>
    <row r="172" spans="1:17">
      <c r="A172" s="42"/>
      <c r="B172" s="562"/>
      <c r="C172" s="677"/>
      <c r="D172" s="677"/>
      <c r="E172" s="677"/>
      <c r="F172" s="978"/>
      <c r="G172" s="977"/>
      <c r="H172" s="977"/>
      <c r="I172" s="977"/>
      <c r="J172" s="977"/>
      <c r="K172" s="977"/>
      <c r="L172" s="977"/>
      <c r="M172" s="71"/>
      <c r="O172" s="541"/>
      <c r="P172" s="80" t="s">
        <v>118</v>
      </c>
      <c r="Q172" s="80" t="s">
        <v>118</v>
      </c>
    </row>
    <row r="173" spans="1:17">
      <c r="A173" s="42"/>
      <c r="B173" s="42"/>
      <c r="C173" s="42"/>
      <c r="D173" s="42"/>
      <c r="E173" s="42"/>
      <c r="F173" s="978"/>
      <c r="G173" s="781"/>
      <c r="H173" s="781"/>
      <c r="I173" s="781"/>
      <c r="J173" s="781"/>
      <c r="K173" s="781"/>
      <c r="L173" s="781"/>
      <c r="M173" s="71"/>
      <c r="P173" s="80" t="s">
        <v>118</v>
      </c>
      <c r="Q173" s="80" t="s">
        <v>118</v>
      </c>
    </row>
    <row r="174" spans="1:17">
      <c r="A174" s="42" t="s">
        <v>118</v>
      </c>
      <c r="B174" s="42" t="s">
        <v>118</v>
      </c>
      <c r="C174" s="42" t="s">
        <v>118</v>
      </c>
      <c r="D174" s="42"/>
      <c r="E174" s="42" t="s">
        <v>118</v>
      </c>
      <c r="F174" s="678" t="s">
        <v>118</v>
      </c>
      <c r="G174" s="42" t="s">
        <v>118</v>
      </c>
      <c r="H174" s="42" t="s">
        <v>118</v>
      </c>
      <c r="I174" s="42" t="s">
        <v>118</v>
      </c>
      <c r="J174" s="42" t="s">
        <v>118</v>
      </c>
      <c r="K174" s="42" t="s">
        <v>118</v>
      </c>
      <c r="L174" s="42" t="s">
        <v>118</v>
      </c>
      <c r="M174" s="71" t="s">
        <v>118</v>
      </c>
      <c r="N174" s="80" t="s">
        <v>118</v>
      </c>
      <c r="O174" s="80" t="s">
        <v>118</v>
      </c>
      <c r="P174" s="80" t="s">
        <v>118</v>
      </c>
      <c r="Q174" s="80" t="s">
        <v>118</v>
      </c>
    </row>
    <row r="175" spans="1:17">
      <c r="A175" s="42" t="s">
        <v>118</v>
      </c>
      <c r="B175" s="42" t="s">
        <v>118</v>
      </c>
      <c r="C175" s="42" t="s">
        <v>118</v>
      </c>
      <c r="D175" s="42"/>
      <c r="E175" s="42" t="s">
        <v>118</v>
      </c>
      <c r="F175" s="678" t="s">
        <v>118</v>
      </c>
      <c r="G175" s="42" t="s">
        <v>118</v>
      </c>
      <c r="H175" s="42" t="s">
        <v>118</v>
      </c>
      <c r="I175" s="42" t="s">
        <v>118</v>
      </c>
      <c r="J175" s="42" t="s">
        <v>118</v>
      </c>
      <c r="K175" s="42" t="s">
        <v>118</v>
      </c>
      <c r="L175" s="42" t="s">
        <v>118</v>
      </c>
      <c r="M175" s="71" t="s">
        <v>118</v>
      </c>
      <c r="N175" s="80" t="s">
        <v>118</v>
      </c>
      <c r="O175" s="80" t="s">
        <v>118</v>
      </c>
      <c r="P175" s="80" t="s">
        <v>118</v>
      </c>
      <c r="Q175" s="80" t="s">
        <v>118</v>
      </c>
    </row>
    <row r="176" spans="1:17">
      <c r="F176" s="98"/>
    </row>
    <row r="177" spans="6:6">
      <c r="F177" s="98"/>
    </row>
    <row r="178" spans="6:6">
      <c r="F178" s="98"/>
    </row>
    <row r="179" spans="6:6">
      <c r="F179" s="98"/>
    </row>
  </sheetData>
  <sheetProtection algorithmName="SHA-512" hashValue="iQd9XqHxTa/vpDM8AhGSMUzahFpo5oJuUnCCp/CoWS58a2umP1H1vKJ0oZQtxsTKTtTcM/K64JlYy4JJvRs8Zg==" saltValue="Or1wpBO82PthIw2QyOie2g==" spinCount="100000" sheet="1" objects="1" scenarios="1"/>
  <phoneticPr fontId="7" type="noConversion"/>
  <conditionalFormatting sqref="L1">
    <cfRule type="expression" dxfId="87" priority="3" stopIfTrue="1">
      <formula>MOD(ROW(),2)=0</formula>
    </cfRule>
  </conditionalFormatting>
  <conditionalFormatting sqref="E1">
    <cfRule type="expression" dxfId="86" priority="2" stopIfTrue="1">
      <formula>MOD(ROW(),2)=0</formula>
    </cfRule>
  </conditionalFormatting>
  <conditionalFormatting sqref="F98:L114">
    <cfRule type="cellIs" dxfId="85" priority="4" stopIfTrue="1" operator="equal">
      <formula>0</formula>
    </cfRule>
  </conditionalFormatting>
  <conditionalFormatting sqref="C98:C114">
    <cfRule type="cellIs" dxfId="84" priority="5" stopIfTrue="1" operator="equal">
      <formula>0</formula>
    </cfRule>
  </conditionalFormatting>
  <conditionalFormatting sqref="F118:L126">
    <cfRule type="cellIs" dxfId="83" priority="6" stopIfTrue="1" operator="equal">
      <formula>0</formula>
    </cfRule>
  </conditionalFormatting>
  <conditionalFormatting sqref="C118:C126">
    <cfRule type="cellIs" dxfId="82" priority="7" stopIfTrue="1" operator="equal">
      <formula>0</formula>
    </cfRule>
  </conditionalFormatting>
  <conditionalFormatting sqref="G135:L151">
    <cfRule type="cellIs" dxfId="81" priority="8" stopIfTrue="1" operator="equal">
      <formula>0</formula>
    </cfRule>
  </conditionalFormatting>
  <conditionalFormatting sqref="C141:C152">
    <cfRule type="cellIs" dxfId="80" priority="9" stopIfTrue="1" operator="equal">
      <formula>0</formula>
    </cfRule>
  </conditionalFormatting>
  <conditionalFormatting sqref="C155:C163">
    <cfRule type="cellIs" dxfId="79" priority="10" stopIfTrue="1" operator="equal">
      <formula>0</formula>
    </cfRule>
  </conditionalFormatting>
  <conditionalFormatting sqref="G155:L163">
    <cfRule type="cellIs" dxfId="78" priority="11" stopIfTrue="1" operator="equal">
      <formula>0</formula>
    </cfRule>
  </conditionalFormatting>
  <conditionalFormatting sqref="C135:C140">
    <cfRule type="cellIs" dxfId="77" priority="12" stopIfTrue="1" operator="equal">
      <formula>0</formula>
    </cfRule>
  </conditionalFormatting>
  <conditionalFormatting sqref="N47">
    <cfRule type="cellIs" dxfId="76" priority="13" stopIfTrue="1" operator="equal">
      <formula>0</formula>
    </cfRule>
  </conditionalFormatting>
  <hyperlinks>
    <hyperlink ref="E1" location="HypLink1" display="HypLink1"/>
  </hyperlinks>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3" manualBreakCount="3">
    <brk id="55" max="12" man="1"/>
    <brk id="95" max="11" man="1"/>
    <brk id="131"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sheetPr>
  <dimension ref="A1:W81"/>
  <sheetViews>
    <sheetView topLeftCell="A37" workbookViewId="0">
      <selection activeCell="L19" sqref="L19"/>
    </sheetView>
  </sheetViews>
  <sheetFormatPr defaultColWidth="8.85546875" defaultRowHeight="15"/>
  <cols>
    <col min="1" max="1" width="6.7109375" style="80" bestFit="1" customWidth="1"/>
    <col min="2" max="2" width="21" style="80" customWidth="1"/>
    <col min="3" max="3" width="17.28515625" style="80" customWidth="1"/>
    <col min="4" max="4" width="11.42578125" style="80" customWidth="1"/>
    <col min="5" max="6" width="11" style="80" customWidth="1"/>
    <col min="7" max="7" width="11.5703125" style="80" customWidth="1"/>
    <col min="8" max="8" width="11.85546875" style="84" customWidth="1"/>
    <col min="9" max="9" width="9.7109375" style="84" customWidth="1"/>
    <col min="10" max="10" width="9.85546875" style="84" customWidth="1"/>
    <col min="11" max="11" width="1.85546875" style="84" customWidth="1"/>
    <col min="12" max="12" width="61.28515625" style="84" customWidth="1"/>
    <col min="13" max="13" width="4.5703125" style="84" customWidth="1"/>
    <col min="14" max="14" width="4.5703125" style="80" customWidth="1"/>
    <col min="15" max="15" width="7.140625" style="80" customWidth="1"/>
    <col min="16" max="19" width="4.5703125" style="80" customWidth="1"/>
    <col min="20" max="16384" width="8.85546875" style="80"/>
  </cols>
  <sheetData>
    <row r="1" spans="1:23" ht="18">
      <c r="A1" s="203" t="s">
        <v>210</v>
      </c>
      <c r="B1" s="79"/>
      <c r="C1" s="79"/>
      <c r="D1" s="640" t="s">
        <v>2</v>
      </c>
      <c r="E1" s="1813" t="s">
        <v>211</v>
      </c>
      <c r="F1" s="1813"/>
      <c r="G1" s="1813"/>
      <c r="H1" s="100"/>
      <c r="I1" s="100"/>
      <c r="L1" s="704"/>
      <c r="M1" s="704"/>
      <c r="N1" s="704"/>
      <c r="O1" s="704"/>
      <c r="P1" s="704"/>
      <c r="Q1" s="231"/>
      <c r="R1" s="106"/>
    </row>
    <row r="2" spans="1:23" ht="15.75">
      <c r="A2" s="201" t="str">
        <f>SchoolName</f>
        <v>Strong Start Academy Elementary School</v>
      </c>
      <c r="B2" s="81"/>
      <c r="C2" s="81"/>
      <c r="E2" s="80" t="s">
        <v>212</v>
      </c>
      <c r="F2" s="268" t="str">
        <f>+Facilities!G2</f>
        <v xml:space="preserve">Downtown Las Vegas </v>
      </c>
      <c r="G2" s="263"/>
      <c r="H2" s="263"/>
      <c r="I2" s="263"/>
      <c r="J2" s="263"/>
      <c r="K2" s="319"/>
      <c r="L2" s="1813" t="s">
        <v>84</v>
      </c>
      <c r="M2" s="704"/>
      <c r="N2" s="704"/>
      <c r="O2" s="704"/>
      <c r="P2" s="704"/>
      <c r="Q2" s="704"/>
      <c r="R2" s="704"/>
      <c r="S2" s="704"/>
      <c r="T2" s="704"/>
      <c r="U2" s="704"/>
      <c r="V2" s="704"/>
    </row>
    <row r="3" spans="1:23">
      <c r="A3" s="83" t="s">
        <v>62</v>
      </c>
      <c r="E3" s="80" t="s">
        <v>72</v>
      </c>
      <c r="F3" s="269">
        <f>+Facilities!G3</f>
        <v>0</v>
      </c>
      <c r="G3" s="264"/>
      <c r="H3" s="264"/>
      <c r="I3" s="264"/>
      <c r="J3" s="264"/>
      <c r="K3" s="319"/>
      <c r="L3" s="717"/>
      <c r="M3" s="704"/>
      <c r="N3" s="704"/>
      <c r="O3" s="704"/>
      <c r="P3" s="704"/>
      <c r="Q3" s="704"/>
      <c r="R3" s="704"/>
      <c r="S3" s="704"/>
      <c r="T3" s="704"/>
      <c r="U3" s="704"/>
      <c r="V3" s="704"/>
    </row>
    <row r="4" spans="1:23">
      <c r="A4" s="85" t="s">
        <v>63</v>
      </c>
      <c r="F4" s="147" t="s">
        <v>213</v>
      </c>
      <c r="H4" s="80"/>
      <c r="L4" s="541"/>
      <c r="M4" s="704"/>
      <c r="N4" s="704"/>
      <c r="O4" s="704"/>
      <c r="P4" s="704"/>
      <c r="Q4" s="704"/>
      <c r="R4" s="704"/>
      <c r="S4" s="704"/>
      <c r="T4" s="704"/>
      <c r="U4" s="704"/>
      <c r="V4" s="704"/>
    </row>
    <row r="5" spans="1:23">
      <c r="A5" s="76" t="str">
        <f ca="1">CELL("filename")</f>
        <v>C:\Users\rsaucedo\OneDrive - City of Las Vegas\CLV Charter School\[Strong Start Academy Elementary School Financial Workbook 2021.xlsx]Incubation</v>
      </c>
      <c r="L5" s="541"/>
      <c r="M5" s="704"/>
      <c r="N5" s="704"/>
      <c r="O5" s="704"/>
      <c r="P5" s="704"/>
      <c r="Q5" s="704"/>
      <c r="R5" s="704"/>
      <c r="S5" s="704"/>
      <c r="T5" s="704"/>
      <c r="U5" s="704"/>
      <c r="V5" s="704"/>
    </row>
    <row r="6" spans="1:23">
      <c r="A6" s="101"/>
      <c r="B6" s="144"/>
      <c r="C6" s="144"/>
      <c r="D6" s="144"/>
      <c r="E6" s="77"/>
      <c r="H6" s="80"/>
      <c r="I6" s="80"/>
      <c r="J6" s="80"/>
      <c r="K6" s="80"/>
      <c r="L6" s="541"/>
      <c r="M6" s="704"/>
      <c r="N6" s="704"/>
      <c r="O6" s="704"/>
      <c r="P6" s="704"/>
      <c r="Q6" s="704"/>
      <c r="R6" s="704"/>
      <c r="S6" s="704"/>
      <c r="T6" s="704"/>
      <c r="U6" s="704"/>
      <c r="V6" s="704"/>
    </row>
    <row r="7" spans="1:23">
      <c r="A7" s="744"/>
      <c r="D7" s="1318" t="s">
        <v>214</v>
      </c>
      <c r="E7" s="1319">
        <v>1</v>
      </c>
      <c r="F7" s="1319">
        <v>2</v>
      </c>
      <c r="G7" s="1319">
        <v>3</v>
      </c>
      <c r="H7" s="1319">
        <v>4</v>
      </c>
      <c r="I7" s="1319">
        <v>5</v>
      </c>
      <c r="J7" s="1320">
        <v>6</v>
      </c>
      <c r="K7" s="362"/>
      <c r="L7" s="541" t="s">
        <v>215</v>
      </c>
      <c r="M7" s="704"/>
      <c r="N7" s="704"/>
      <c r="O7" s="704"/>
      <c r="P7" s="704"/>
      <c r="Q7" s="704"/>
      <c r="R7" s="704"/>
      <c r="S7" s="704"/>
      <c r="T7" s="704"/>
      <c r="U7" s="704"/>
      <c r="V7" s="704"/>
    </row>
    <row r="8" spans="1:23" ht="15.75">
      <c r="A8" s="744"/>
      <c r="D8" s="1318">
        <f>' Enrol &amp; Rev'!G10</f>
        <v>2021</v>
      </c>
      <c r="E8" s="1321">
        <f>' Enrol &amp; Rev'!H10</f>
        <v>2022</v>
      </c>
      <c r="F8" s="1321">
        <f>+E9</f>
        <v>2023</v>
      </c>
      <c r="G8" s="1321">
        <f>+F9</f>
        <v>2024</v>
      </c>
      <c r="H8" s="1321">
        <f>+G9</f>
        <v>2025</v>
      </c>
      <c r="I8" s="1321">
        <f>+H9</f>
        <v>2026</v>
      </c>
      <c r="J8" s="1322">
        <f>+I9</f>
        <v>2027</v>
      </c>
      <c r="K8" s="471"/>
      <c r="L8" s="541"/>
      <c r="M8" s="704"/>
      <c r="N8" s="704"/>
      <c r="O8" s="704"/>
      <c r="P8" s="704"/>
      <c r="Q8" s="704"/>
      <c r="R8" s="704"/>
      <c r="S8" s="704"/>
      <c r="T8" s="704"/>
      <c r="U8" s="704"/>
      <c r="V8" s="704"/>
    </row>
    <row r="9" spans="1:23" s="84" customFormat="1" ht="15.75">
      <c r="A9" s="744"/>
      <c r="D9" s="1095">
        <f>+D8+1</f>
        <v>2022</v>
      </c>
      <c r="E9" s="1096">
        <f t="shared" ref="E9:J9" si="0">+E8+1</f>
        <v>2023</v>
      </c>
      <c r="F9" s="1096">
        <f t="shared" si="0"/>
        <v>2024</v>
      </c>
      <c r="G9" s="1096">
        <f t="shared" si="0"/>
        <v>2025</v>
      </c>
      <c r="H9" s="1096">
        <f t="shared" si="0"/>
        <v>2026</v>
      </c>
      <c r="I9" s="1096">
        <f t="shared" si="0"/>
        <v>2027</v>
      </c>
      <c r="J9" s="1097">
        <f t="shared" si="0"/>
        <v>2028</v>
      </c>
      <c r="K9" s="472"/>
      <c r="L9" s="541"/>
      <c r="M9" s="704"/>
      <c r="N9" s="704"/>
      <c r="O9" s="704"/>
      <c r="P9" s="704"/>
      <c r="Q9" s="704"/>
      <c r="R9" s="704"/>
      <c r="S9" s="704"/>
      <c r="T9" s="704"/>
      <c r="U9" s="704"/>
      <c r="V9" s="704"/>
    </row>
    <row r="10" spans="1:23" s="84" customFormat="1" ht="15.75">
      <c r="A10" s="744">
        <f>ROW()</f>
        <v>10</v>
      </c>
      <c r="B10" s="1088" t="s">
        <v>216</v>
      </c>
      <c r="C10" s="1088"/>
      <c r="D10" s="40"/>
      <c r="E10" s="414"/>
      <c r="F10" s="414"/>
      <c r="G10" s="414"/>
      <c r="H10" s="414"/>
      <c r="I10" s="414"/>
      <c r="J10" s="414"/>
      <c r="K10" s="471"/>
      <c r="L10" s="541"/>
      <c r="M10" s="704"/>
      <c r="N10" s="704"/>
      <c r="O10" s="704"/>
      <c r="P10" s="704"/>
      <c r="Q10" s="704"/>
      <c r="R10" s="704"/>
      <c r="S10" s="704"/>
      <c r="T10" s="704"/>
      <c r="U10" s="704"/>
      <c r="V10" s="704"/>
    </row>
    <row r="11" spans="1:23">
      <c r="A11" s="744">
        <f>ROW()</f>
        <v>11</v>
      </c>
      <c r="B11" s="1089" t="s">
        <v>217</v>
      </c>
      <c r="C11" s="1089"/>
      <c r="D11" s="469">
        <f t="shared" ref="D11:J11" si="1">COUNTIF(D14:D26,"&gt;0")</f>
        <v>0</v>
      </c>
      <c r="E11" s="469">
        <f t="shared" si="1"/>
        <v>3</v>
      </c>
      <c r="F11" s="457">
        <f t="shared" si="1"/>
        <v>4</v>
      </c>
      <c r="G11" s="457">
        <f t="shared" si="1"/>
        <v>5</v>
      </c>
      <c r="H11" s="457">
        <f t="shared" si="1"/>
        <v>6</v>
      </c>
      <c r="I11" s="457">
        <f t="shared" si="1"/>
        <v>6</v>
      </c>
      <c r="J11" s="458">
        <f t="shared" si="1"/>
        <v>6</v>
      </c>
      <c r="K11" s="473"/>
      <c r="L11" s="541"/>
      <c r="M11" s="704"/>
      <c r="N11" s="704"/>
      <c r="O11" s="704"/>
      <c r="P11" s="704"/>
      <c r="Q11" s="704"/>
      <c r="R11" s="704"/>
      <c r="S11" s="704"/>
      <c r="T11" s="704"/>
      <c r="U11" s="704"/>
      <c r="V11" s="704"/>
    </row>
    <row r="12" spans="1:23">
      <c r="A12" s="744">
        <f>ROW()</f>
        <v>12</v>
      </c>
      <c r="B12" s="97" t="s">
        <v>218</v>
      </c>
      <c r="C12" s="97"/>
      <c r="D12" s="470">
        <f>+' Enrol &amp; Rev'!G17</f>
        <v>0</v>
      </c>
      <c r="E12" s="475">
        <f>+' Enrol &amp; Rev'!H17</f>
        <v>9</v>
      </c>
      <c r="F12" s="476">
        <f>+' Enrol &amp; Rev'!I17</f>
        <v>12</v>
      </c>
      <c r="G12" s="476">
        <f>+' Enrol &amp; Rev'!J17</f>
        <v>15</v>
      </c>
      <c r="H12" s="476">
        <f>+' Enrol &amp; Rev'!K17</f>
        <v>18</v>
      </c>
      <c r="I12" s="476">
        <f>+' Enrol &amp; Rev'!L17</f>
        <v>18</v>
      </c>
      <c r="J12" s="477">
        <f>+' Enrol &amp; Rev'!M17</f>
        <v>18</v>
      </c>
      <c r="K12" s="473"/>
      <c r="L12" s="541"/>
      <c r="M12" s="704"/>
      <c r="N12" s="704"/>
      <c r="O12" s="704"/>
      <c r="P12" s="704"/>
      <c r="Q12" s="704"/>
      <c r="R12" s="704"/>
      <c r="S12" s="704"/>
      <c r="T12" s="704"/>
      <c r="U12" s="704"/>
      <c r="V12" s="704"/>
    </row>
    <row r="13" spans="1:23">
      <c r="A13" s="744">
        <f>ROW()</f>
        <v>13</v>
      </c>
      <c r="B13" s="108"/>
      <c r="C13" s="108"/>
      <c r="D13" s="908"/>
      <c r="E13" s="908"/>
      <c r="F13" s="908"/>
      <c r="G13" s="908"/>
      <c r="H13" s="908"/>
      <c r="I13" s="908"/>
      <c r="J13" s="908"/>
      <c r="K13" s="418"/>
      <c r="L13" s="541"/>
      <c r="M13" s="704"/>
      <c r="N13" s="704"/>
      <c r="O13" s="704"/>
      <c r="P13" s="704"/>
      <c r="Q13" s="704"/>
      <c r="R13" s="704"/>
      <c r="S13" s="704"/>
      <c r="T13" s="704"/>
      <c r="U13" s="704"/>
      <c r="V13" s="704"/>
      <c r="W13" s="704"/>
    </row>
    <row r="14" spans="1:23">
      <c r="A14" s="744">
        <f>ROW()</f>
        <v>14</v>
      </c>
      <c r="B14" s="995" t="s">
        <v>219</v>
      </c>
      <c r="C14" s="1295"/>
      <c r="D14" s="910">
        <f>' Enrol &amp; Rev'!G21</f>
        <v>0</v>
      </c>
      <c r="E14" s="910">
        <f>' Enrol &amp; Rev'!H21</f>
        <v>60</v>
      </c>
      <c r="F14" s="910">
        <f>' Enrol &amp; Rev'!I21</f>
        <v>60</v>
      </c>
      <c r="G14" s="910">
        <f>' Enrol &amp; Rev'!J21</f>
        <v>60</v>
      </c>
      <c r="H14" s="910">
        <f>' Enrol &amp; Rev'!K21</f>
        <v>60</v>
      </c>
      <c r="I14" s="910">
        <f>' Enrol &amp; Rev'!L21</f>
        <v>60</v>
      </c>
      <c r="J14" s="910">
        <f>' Enrol &amp; Rev'!M21</f>
        <v>60</v>
      </c>
      <c r="K14" s="419"/>
      <c r="L14" s="541"/>
      <c r="M14" s="704"/>
      <c r="N14" s="704"/>
      <c r="O14" s="704"/>
      <c r="P14" s="704"/>
      <c r="Q14" s="704"/>
      <c r="R14" s="704"/>
      <c r="S14" s="704"/>
      <c r="T14" s="704"/>
      <c r="U14" s="704"/>
      <c r="V14" s="704"/>
      <c r="W14" s="704"/>
    </row>
    <row r="15" spans="1:23">
      <c r="A15" s="744">
        <f>ROW()</f>
        <v>15</v>
      </c>
      <c r="B15" s="112" t="s">
        <v>220</v>
      </c>
      <c r="C15" s="523"/>
      <c r="D15" s="909">
        <f>' Enrol &amp; Rev'!G22</f>
        <v>0</v>
      </c>
      <c r="E15" s="909">
        <f>' Enrol &amp; Rev'!H22</f>
        <v>60</v>
      </c>
      <c r="F15" s="909">
        <f>' Enrol &amp; Rev'!I22</f>
        <v>60</v>
      </c>
      <c r="G15" s="909">
        <f>' Enrol &amp; Rev'!J22</f>
        <v>60</v>
      </c>
      <c r="H15" s="909">
        <f>' Enrol &amp; Rev'!K22</f>
        <v>60</v>
      </c>
      <c r="I15" s="909">
        <f>' Enrol &amp; Rev'!L22</f>
        <v>60</v>
      </c>
      <c r="J15" s="909">
        <f>' Enrol &amp; Rev'!M22</f>
        <v>60</v>
      </c>
      <c r="K15" s="419"/>
      <c r="L15" s="541"/>
      <c r="M15" s="704"/>
      <c r="N15" s="704"/>
      <c r="O15" s="704"/>
      <c r="P15" s="704"/>
      <c r="Q15" s="704"/>
      <c r="R15" s="704"/>
      <c r="S15" s="704"/>
      <c r="T15" s="704"/>
      <c r="U15" s="704"/>
      <c r="V15" s="704"/>
      <c r="W15" s="704"/>
    </row>
    <row r="16" spans="1:23">
      <c r="A16" s="744">
        <f>ROW()</f>
        <v>16</v>
      </c>
      <c r="B16" s="112" t="s">
        <v>221</v>
      </c>
      <c r="C16" s="523"/>
      <c r="D16" s="909">
        <f>' Enrol &amp; Rev'!G23</f>
        <v>0</v>
      </c>
      <c r="E16" s="909">
        <f>' Enrol &amp; Rev'!H23</f>
        <v>60</v>
      </c>
      <c r="F16" s="909">
        <f>' Enrol &amp; Rev'!I23</f>
        <v>60</v>
      </c>
      <c r="G16" s="909">
        <f>' Enrol &amp; Rev'!J23</f>
        <v>60</v>
      </c>
      <c r="H16" s="909">
        <f>' Enrol &amp; Rev'!K23</f>
        <v>60</v>
      </c>
      <c r="I16" s="909">
        <f>' Enrol &amp; Rev'!L23</f>
        <v>60</v>
      </c>
      <c r="J16" s="909">
        <f>' Enrol &amp; Rev'!M23</f>
        <v>60</v>
      </c>
      <c r="K16" s="419"/>
      <c r="L16" s="541"/>
      <c r="M16" s="704"/>
      <c r="N16" s="704"/>
      <c r="O16" s="704"/>
      <c r="P16" s="704"/>
      <c r="Q16" s="704"/>
      <c r="R16" s="704"/>
      <c r="S16" s="704"/>
      <c r="T16" s="704"/>
      <c r="U16" s="704"/>
      <c r="V16" s="704"/>
      <c r="W16" s="704"/>
    </row>
    <row r="17" spans="1:23">
      <c r="A17" s="744">
        <f>ROW()</f>
        <v>17</v>
      </c>
      <c r="B17" s="112" t="s">
        <v>222</v>
      </c>
      <c r="C17" s="523"/>
      <c r="D17" s="909">
        <f>' Enrol &amp; Rev'!G24</f>
        <v>0</v>
      </c>
      <c r="E17" s="909">
        <f>' Enrol &amp; Rev'!H24</f>
        <v>0</v>
      </c>
      <c r="F17" s="909">
        <f>' Enrol &amp; Rev'!I24</f>
        <v>60</v>
      </c>
      <c r="G17" s="909">
        <f>' Enrol &amp; Rev'!J24</f>
        <v>60</v>
      </c>
      <c r="H17" s="909">
        <f>' Enrol &amp; Rev'!K24</f>
        <v>60</v>
      </c>
      <c r="I17" s="909">
        <f>' Enrol &amp; Rev'!L24</f>
        <v>60</v>
      </c>
      <c r="J17" s="909">
        <f>' Enrol &amp; Rev'!M24</f>
        <v>60</v>
      </c>
      <c r="K17" s="419"/>
      <c r="L17" s="541"/>
      <c r="M17" s="704"/>
      <c r="N17" s="704"/>
      <c r="O17" s="704"/>
      <c r="P17" s="704"/>
      <c r="Q17" s="704"/>
      <c r="R17" s="704"/>
      <c r="S17" s="704"/>
      <c r="T17" s="704"/>
      <c r="U17" s="704"/>
      <c r="V17" s="704"/>
      <c r="W17" s="704"/>
    </row>
    <row r="18" spans="1:23">
      <c r="A18" s="744">
        <f>ROW()</f>
        <v>18</v>
      </c>
      <c r="B18" s="112" t="s">
        <v>223</v>
      </c>
      <c r="C18" s="523"/>
      <c r="D18" s="909">
        <f>' Enrol &amp; Rev'!G25</f>
        <v>0</v>
      </c>
      <c r="E18" s="909">
        <f>' Enrol &amp; Rev'!H25</f>
        <v>0</v>
      </c>
      <c r="F18" s="909">
        <f>' Enrol &amp; Rev'!I25</f>
        <v>0</v>
      </c>
      <c r="G18" s="909">
        <f>' Enrol &amp; Rev'!J25</f>
        <v>60</v>
      </c>
      <c r="H18" s="909">
        <f>' Enrol &amp; Rev'!K25</f>
        <v>60</v>
      </c>
      <c r="I18" s="909">
        <f>' Enrol &amp; Rev'!L25</f>
        <v>60</v>
      </c>
      <c r="J18" s="909">
        <f>' Enrol &amp; Rev'!M25</f>
        <v>60</v>
      </c>
      <c r="K18" s="419"/>
      <c r="L18" s="541"/>
      <c r="M18" s="704"/>
      <c r="N18" s="704"/>
      <c r="O18" s="704"/>
      <c r="P18" s="704"/>
      <c r="Q18" s="704"/>
      <c r="R18" s="704"/>
      <c r="S18" s="704"/>
      <c r="T18" s="704"/>
      <c r="U18" s="704"/>
      <c r="V18" s="704"/>
      <c r="W18" s="704"/>
    </row>
    <row r="19" spans="1:23">
      <c r="A19" s="744">
        <f>ROW()</f>
        <v>19</v>
      </c>
      <c r="B19" s="112" t="s">
        <v>224</v>
      </c>
      <c r="C19" s="523"/>
      <c r="D19" s="909">
        <f>' Enrol &amp; Rev'!G26</f>
        <v>0</v>
      </c>
      <c r="E19" s="909">
        <f>' Enrol &amp; Rev'!H26</f>
        <v>0</v>
      </c>
      <c r="F19" s="909">
        <f>' Enrol &amp; Rev'!I26</f>
        <v>0</v>
      </c>
      <c r="G19" s="909">
        <f>' Enrol &amp; Rev'!J26</f>
        <v>0</v>
      </c>
      <c r="H19" s="909">
        <f>' Enrol &amp; Rev'!K26</f>
        <v>60</v>
      </c>
      <c r="I19" s="909">
        <f>' Enrol &amp; Rev'!L26</f>
        <v>60</v>
      </c>
      <c r="J19" s="909">
        <f>' Enrol &amp; Rev'!M26</f>
        <v>60</v>
      </c>
      <c r="K19" s="419"/>
      <c r="L19" s="541"/>
      <c r="M19" s="704"/>
      <c r="N19" s="704"/>
      <c r="O19" s="704"/>
      <c r="P19" s="704"/>
      <c r="Q19" s="704"/>
      <c r="R19" s="704"/>
      <c r="S19" s="704"/>
      <c r="T19" s="704"/>
      <c r="U19" s="704"/>
      <c r="V19" s="704"/>
      <c r="W19" s="704"/>
    </row>
    <row r="20" spans="1:23">
      <c r="A20" s="744">
        <f>ROW()</f>
        <v>20</v>
      </c>
      <c r="B20" s="112" t="s">
        <v>225</v>
      </c>
      <c r="C20" s="523"/>
      <c r="D20" s="909">
        <f>' Enrol &amp; Rev'!G27</f>
        <v>0</v>
      </c>
      <c r="E20" s="909">
        <f>' Enrol &amp; Rev'!H27</f>
        <v>0</v>
      </c>
      <c r="F20" s="909">
        <f>' Enrol &amp; Rev'!I27</f>
        <v>0</v>
      </c>
      <c r="G20" s="909">
        <f>' Enrol &amp; Rev'!J27</f>
        <v>0</v>
      </c>
      <c r="H20" s="909">
        <f>' Enrol &amp; Rev'!K27</f>
        <v>0</v>
      </c>
      <c r="I20" s="909">
        <f>' Enrol &amp; Rev'!L27</f>
        <v>0</v>
      </c>
      <c r="J20" s="909">
        <f>' Enrol &amp; Rev'!M27</f>
        <v>0</v>
      </c>
      <c r="K20" s="419"/>
      <c r="L20" s="541"/>
      <c r="M20" s="704"/>
      <c r="N20" s="704"/>
      <c r="O20" s="704"/>
      <c r="P20" s="704"/>
      <c r="Q20" s="704"/>
      <c r="R20" s="704"/>
      <c r="S20" s="704"/>
      <c r="T20" s="704"/>
      <c r="U20" s="704"/>
      <c r="V20" s="704"/>
      <c r="W20" s="704"/>
    </row>
    <row r="21" spans="1:23">
      <c r="A21" s="744">
        <f>ROW()</f>
        <v>21</v>
      </c>
      <c r="B21" s="112" t="s">
        <v>226</v>
      </c>
      <c r="C21" s="523"/>
      <c r="D21" s="909">
        <f>' Enrol &amp; Rev'!G28</f>
        <v>0</v>
      </c>
      <c r="E21" s="909">
        <f>' Enrol &amp; Rev'!H28</f>
        <v>0</v>
      </c>
      <c r="F21" s="909">
        <f>' Enrol &amp; Rev'!I28</f>
        <v>0</v>
      </c>
      <c r="G21" s="909">
        <f>' Enrol &amp; Rev'!J28</f>
        <v>0</v>
      </c>
      <c r="H21" s="909">
        <f>' Enrol &amp; Rev'!K28</f>
        <v>0</v>
      </c>
      <c r="I21" s="909">
        <f>' Enrol &amp; Rev'!L28</f>
        <v>0</v>
      </c>
      <c r="J21" s="909">
        <f>' Enrol &amp; Rev'!M28</f>
        <v>0</v>
      </c>
      <c r="K21" s="419"/>
      <c r="L21" s="541"/>
      <c r="M21" s="704"/>
      <c r="N21" s="704"/>
      <c r="O21" s="704"/>
      <c r="P21" s="704"/>
      <c r="Q21" s="704"/>
      <c r="R21" s="704"/>
      <c r="S21" s="704"/>
      <c r="T21" s="704"/>
      <c r="U21" s="704"/>
      <c r="V21" s="704"/>
    </row>
    <row r="22" spans="1:23">
      <c r="A22" s="744">
        <f>ROW()</f>
        <v>22</v>
      </c>
      <c r="B22" s="112" t="s">
        <v>227</v>
      </c>
      <c r="C22" s="523"/>
      <c r="D22" s="909">
        <f>' Enrol &amp; Rev'!G29</f>
        <v>0</v>
      </c>
      <c r="E22" s="909">
        <f>' Enrol &amp; Rev'!H29</f>
        <v>0</v>
      </c>
      <c r="F22" s="909">
        <f>' Enrol &amp; Rev'!I29</f>
        <v>0</v>
      </c>
      <c r="G22" s="909">
        <f>' Enrol &amp; Rev'!J29</f>
        <v>0</v>
      </c>
      <c r="H22" s="909">
        <f>' Enrol &amp; Rev'!K29</f>
        <v>0</v>
      </c>
      <c r="I22" s="909">
        <f>' Enrol &amp; Rev'!L29</f>
        <v>0</v>
      </c>
      <c r="J22" s="909">
        <f>' Enrol &amp; Rev'!M29</f>
        <v>0</v>
      </c>
      <c r="K22" s="419"/>
      <c r="L22" s="541"/>
      <c r="M22" s="704"/>
      <c r="N22" s="704"/>
      <c r="O22" s="704"/>
      <c r="P22" s="704"/>
      <c r="Q22" s="704"/>
      <c r="R22" s="704"/>
      <c r="S22" s="704"/>
      <c r="T22" s="704"/>
      <c r="U22" s="704"/>
      <c r="V22" s="704"/>
    </row>
    <row r="23" spans="1:23">
      <c r="A23" s="744">
        <f>ROW()</f>
        <v>23</v>
      </c>
      <c r="B23" s="112" t="s">
        <v>228</v>
      </c>
      <c r="C23" s="523"/>
      <c r="D23" s="909">
        <f>' Enrol &amp; Rev'!G30</f>
        <v>0</v>
      </c>
      <c r="E23" s="909">
        <f>' Enrol &amp; Rev'!H30</f>
        <v>0</v>
      </c>
      <c r="F23" s="909">
        <f>' Enrol &amp; Rev'!I30</f>
        <v>0</v>
      </c>
      <c r="G23" s="909">
        <f>' Enrol &amp; Rev'!J30</f>
        <v>0</v>
      </c>
      <c r="H23" s="909">
        <f>' Enrol &amp; Rev'!K30</f>
        <v>0</v>
      </c>
      <c r="I23" s="909">
        <f>' Enrol &amp; Rev'!L30</f>
        <v>0</v>
      </c>
      <c r="J23" s="909">
        <f>' Enrol &amp; Rev'!M30</f>
        <v>0</v>
      </c>
      <c r="K23" s="419"/>
      <c r="L23" s="541"/>
      <c r="M23" s="704"/>
      <c r="N23" s="704"/>
      <c r="O23" s="704"/>
      <c r="P23" s="704"/>
      <c r="Q23" s="704"/>
      <c r="R23" s="704"/>
      <c r="S23" s="704"/>
      <c r="T23" s="704"/>
      <c r="U23" s="704"/>
      <c r="V23" s="704"/>
    </row>
    <row r="24" spans="1:23">
      <c r="A24" s="744">
        <f>ROW()</f>
        <v>24</v>
      </c>
      <c r="B24" s="112" t="s">
        <v>229</v>
      </c>
      <c r="C24" s="523"/>
      <c r="D24" s="909">
        <f>' Enrol &amp; Rev'!G31</f>
        <v>0</v>
      </c>
      <c r="E24" s="909">
        <f>' Enrol &amp; Rev'!H31</f>
        <v>0</v>
      </c>
      <c r="F24" s="909">
        <f>' Enrol &amp; Rev'!I31</f>
        <v>0</v>
      </c>
      <c r="G24" s="909">
        <f>' Enrol &amp; Rev'!J31</f>
        <v>0</v>
      </c>
      <c r="H24" s="909">
        <f>' Enrol &amp; Rev'!K31</f>
        <v>0</v>
      </c>
      <c r="I24" s="909">
        <f>' Enrol &amp; Rev'!L31</f>
        <v>0</v>
      </c>
      <c r="J24" s="909">
        <f>' Enrol &amp; Rev'!M31</f>
        <v>0</v>
      </c>
      <c r="K24" s="419"/>
      <c r="L24" s="541"/>
      <c r="M24" s="704"/>
      <c r="N24" s="704"/>
      <c r="O24" s="704"/>
      <c r="P24" s="704"/>
      <c r="Q24" s="704"/>
      <c r="R24" s="704"/>
      <c r="S24" s="704"/>
      <c r="T24" s="704"/>
      <c r="U24" s="704"/>
      <c r="V24" s="704"/>
    </row>
    <row r="25" spans="1:23">
      <c r="A25" s="744">
        <f>ROW()</f>
        <v>25</v>
      </c>
      <c r="B25" s="112" t="s">
        <v>230</v>
      </c>
      <c r="C25" s="523"/>
      <c r="D25" s="909">
        <f>' Enrol &amp; Rev'!G32</f>
        <v>0</v>
      </c>
      <c r="E25" s="909">
        <f>' Enrol &amp; Rev'!H32</f>
        <v>0</v>
      </c>
      <c r="F25" s="909">
        <f>' Enrol &amp; Rev'!I32</f>
        <v>0</v>
      </c>
      <c r="G25" s="909">
        <f>' Enrol &amp; Rev'!J32</f>
        <v>0</v>
      </c>
      <c r="H25" s="909">
        <f>' Enrol &amp; Rev'!K32</f>
        <v>0</v>
      </c>
      <c r="I25" s="909">
        <f>' Enrol &amp; Rev'!L32</f>
        <v>0</v>
      </c>
      <c r="J25" s="909">
        <f>' Enrol &amp; Rev'!M32</f>
        <v>0</v>
      </c>
      <c r="K25" s="419"/>
      <c r="L25" s="541"/>
      <c r="M25" s="704"/>
      <c r="N25" s="704"/>
      <c r="O25" s="704"/>
      <c r="P25" s="704"/>
      <c r="Q25" s="704"/>
      <c r="R25" s="704"/>
      <c r="S25" s="704"/>
      <c r="T25" s="704"/>
      <c r="U25" s="704"/>
      <c r="V25" s="704"/>
    </row>
    <row r="26" spans="1:23">
      <c r="A26" s="744">
        <f>ROW()</f>
        <v>26</v>
      </c>
      <c r="B26" s="994" t="s">
        <v>231</v>
      </c>
      <c r="C26" s="1296"/>
      <c r="D26" s="911">
        <f>' Enrol &amp; Rev'!G33</f>
        <v>0</v>
      </c>
      <c r="E26" s="911">
        <f>' Enrol &amp; Rev'!H33</f>
        <v>0</v>
      </c>
      <c r="F26" s="911">
        <f>' Enrol &amp; Rev'!I33</f>
        <v>0</v>
      </c>
      <c r="G26" s="911">
        <f>' Enrol &amp; Rev'!J33</f>
        <v>0</v>
      </c>
      <c r="H26" s="911">
        <f>' Enrol &amp; Rev'!K33</f>
        <v>0</v>
      </c>
      <c r="I26" s="911">
        <f>' Enrol &amp; Rev'!L33</f>
        <v>0</v>
      </c>
      <c r="J26" s="911">
        <f>' Enrol &amp; Rev'!M33</f>
        <v>0</v>
      </c>
      <c r="K26" s="419"/>
      <c r="L26" s="541"/>
      <c r="M26" s="704"/>
      <c r="N26" s="704"/>
      <c r="O26" s="704"/>
      <c r="P26" s="704"/>
      <c r="Q26" s="704"/>
      <c r="R26" s="704"/>
      <c r="S26" s="704"/>
      <c r="T26" s="704"/>
      <c r="U26" s="704"/>
      <c r="V26" s="704"/>
    </row>
    <row r="27" spans="1:23">
      <c r="A27" s="744">
        <f>ROW()</f>
        <v>27</v>
      </c>
      <c r="B27" s="279" t="s">
        <v>232</v>
      </c>
      <c r="C27" s="279"/>
      <c r="D27" s="474">
        <f t="shared" ref="D27:J27" si="2">SUM(D14:D26)</f>
        <v>0</v>
      </c>
      <c r="E27" s="474">
        <f t="shared" si="2"/>
        <v>180</v>
      </c>
      <c r="F27" s="474">
        <f t="shared" si="2"/>
        <v>240</v>
      </c>
      <c r="G27" s="474">
        <f t="shared" si="2"/>
        <v>300</v>
      </c>
      <c r="H27" s="474">
        <f t="shared" si="2"/>
        <v>360</v>
      </c>
      <c r="I27" s="474">
        <f t="shared" si="2"/>
        <v>360</v>
      </c>
      <c r="J27" s="474">
        <f t="shared" si="2"/>
        <v>360</v>
      </c>
      <c r="K27" s="474"/>
      <c r="L27" s="541"/>
      <c r="M27" s="704"/>
      <c r="N27" s="704"/>
      <c r="O27" s="704"/>
      <c r="P27" s="704"/>
      <c r="Q27" s="704"/>
      <c r="R27" s="704"/>
      <c r="S27" s="704"/>
      <c r="T27" s="704"/>
      <c r="U27" s="704"/>
      <c r="V27" s="704"/>
    </row>
    <row r="28" spans="1:23">
      <c r="A28" s="744">
        <f>ROW()</f>
        <v>28</v>
      </c>
      <c r="B28" s="108" t="s">
        <v>233</v>
      </c>
      <c r="C28" s="108"/>
      <c r="D28" s="204"/>
      <c r="E28" s="204">
        <f>IFERROR(E27/E12,0)</f>
        <v>20</v>
      </c>
      <c r="F28" s="204">
        <f t="shared" ref="F28:J28" si="3">IFERROR(F27/F12,0)</f>
        <v>20</v>
      </c>
      <c r="G28" s="204">
        <f t="shared" si="3"/>
        <v>20</v>
      </c>
      <c r="H28" s="204">
        <f t="shared" si="3"/>
        <v>20</v>
      </c>
      <c r="I28" s="204">
        <f t="shared" si="3"/>
        <v>20</v>
      </c>
      <c r="J28" s="204">
        <f t="shared" si="3"/>
        <v>20</v>
      </c>
      <c r="K28" s="204"/>
      <c r="L28" s="541"/>
      <c r="M28" s="704"/>
      <c r="N28" s="704"/>
      <c r="O28" s="704"/>
      <c r="P28" s="704"/>
      <c r="Q28" s="704"/>
      <c r="R28" s="704"/>
      <c r="S28" s="704"/>
      <c r="T28" s="704"/>
      <c r="U28" s="704"/>
      <c r="V28" s="704"/>
    </row>
    <row r="29" spans="1:23">
      <c r="A29" s="744">
        <f>ROW()</f>
        <v>29</v>
      </c>
      <c r="B29" s="108" t="s">
        <v>234</v>
      </c>
      <c r="C29" s="108"/>
      <c r="D29" s="204"/>
      <c r="E29" s="573">
        <f t="shared" ref="E29:J29" si="4">IFERROR(IF(AND(E27,$G$51)&gt;0,E27/$G51,0),0)</f>
        <v>5.0818746470920384E-2</v>
      </c>
      <c r="F29" s="574">
        <f t="shared" si="4"/>
        <v>6.7758328627893841E-2</v>
      </c>
      <c r="G29" s="574">
        <f t="shared" si="4"/>
        <v>8.4697910784867311E-2</v>
      </c>
      <c r="H29" s="574">
        <f t="shared" si="4"/>
        <v>0.10163749294184077</v>
      </c>
      <c r="I29" s="574">
        <f t="shared" si="4"/>
        <v>0.10163749294184077</v>
      </c>
      <c r="J29" s="574">
        <f t="shared" si="4"/>
        <v>0.10163749294184077</v>
      </c>
      <c r="K29" s="204"/>
      <c r="L29" s="541"/>
      <c r="M29" s="704"/>
      <c r="N29" s="704"/>
      <c r="O29" s="704"/>
      <c r="P29" s="704"/>
      <c r="Q29" s="704"/>
      <c r="R29" s="704"/>
      <c r="S29" s="704"/>
      <c r="T29" s="704"/>
      <c r="U29" s="704"/>
      <c r="V29" s="704"/>
    </row>
    <row r="30" spans="1:23">
      <c r="A30" s="744">
        <f>ROW()</f>
        <v>30</v>
      </c>
      <c r="B30" s="108" t="s">
        <v>235</v>
      </c>
      <c r="C30" s="108"/>
      <c r="D30" s="204"/>
      <c r="E30" s="573">
        <f t="shared" ref="E30:J30" si="5">IFERROR(IF(AND(E27,$G$67)&gt;0,E27/$G67,0),0)</f>
        <v>0</v>
      </c>
      <c r="F30" s="573">
        <f t="shared" si="5"/>
        <v>0</v>
      </c>
      <c r="G30" s="573">
        <f t="shared" si="5"/>
        <v>0</v>
      </c>
      <c r="H30" s="573">
        <f t="shared" si="5"/>
        <v>0</v>
      </c>
      <c r="I30" s="573">
        <f t="shared" si="5"/>
        <v>0</v>
      </c>
      <c r="J30" s="573">
        <f t="shared" si="5"/>
        <v>0</v>
      </c>
      <c r="K30" s="204"/>
      <c r="L30" s="541"/>
      <c r="M30" s="704"/>
      <c r="N30" s="704"/>
      <c r="O30" s="704"/>
      <c r="P30" s="704"/>
      <c r="Q30" s="704"/>
      <c r="R30" s="704"/>
      <c r="S30" s="704"/>
      <c r="T30" s="704"/>
      <c r="U30" s="704"/>
      <c r="V30" s="704"/>
    </row>
    <row r="31" spans="1:23">
      <c r="A31" s="744">
        <f>ROW()</f>
        <v>31</v>
      </c>
      <c r="B31" s="267" t="s">
        <v>236</v>
      </c>
      <c r="C31" s="108"/>
      <c r="D31" s="204"/>
      <c r="E31" s="573"/>
      <c r="F31" s="574"/>
      <c r="G31" s="574"/>
      <c r="H31" s="574"/>
      <c r="I31" s="574"/>
      <c r="J31" s="574"/>
      <c r="K31" s="204"/>
      <c r="L31" s="541"/>
      <c r="M31" s="704"/>
      <c r="N31" s="704"/>
      <c r="O31" s="704"/>
      <c r="P31" s="704"/>
      <c r="Q31" s="704"/>
      <c r="R31" s="704"/>
      <c r="S31" s="704"/>
      <c r="T31" s="704"/>
      <c r="U31" s="704"/>
      <c r="V31" s="704"/>
    </row>
    <row r="32" spans="1:23">
      <c r="A32" s="744"/>
      <c r="B32" s="115"/>
      <c r="C32" s="115"/>
      <c r="D32" s="115"/>
      <c r="E32" s="108"/>
      <c r="F32" s="116"/>
      <c r="G32" s="117"/>
      <c r="H32" s="117"/>
      <c r="I32" s="117"/>
      <c r="J32" s="117"/>
      <c r="K32" s="117"/>
      <c r="L32" s="541"/>
      <c r="M32" s="704"/>
      <c r="N32" s="704"/>
      <c r="O32" s="704"/>
      <c r="P32" s="704"/>
      <c r="Q32" s="704"/>
      <c r="R32" s="704"/>
      <c r="S32" s="704"/>
      <c r="T32" s="704"/>
      <c r="U32" s="704"/>
      <c r="V32" s="704"/>
    </row>
    <row r="33" spans="1:22" ht="15.75">
      <c r="A33" s="322" t="s">
        <v>237</v>
      </c>
      <c r="B33" s="115"/>
      <c r="C33" s="115"/>
      <c r="D33" s="115"/>
      <c r="E33" s="108"/>
      <c r="F33" s="116"/>
      <c r="G33" s="117"/>
      <c r="H33" s="117"/>
      <c r="I33" s="80"/>
      <c r="J33" s="80"/>
      <c r="K33" s="80"/>
      <c r="L33" s="541"/>
      <c r="M33" s="704"/>
      <c r="N33" s="704"/>
      <c r="O33" s="704"/>
      <c r="P33" s="704"/>
      <c r="Q33" s="704"/>
      <c r="R33" s="704"/>
      <c r="S33" s="704"/>
      <c r="T33" s="704"/>
      <c r="U33" s="704"/>
      <c r="V33" s="704"/>
    </row>
    <row r="34" spans="1:22" ht="30" customHeight="1">
      <c r="A34" s="1297"/>
      <c r="B34" s="1883" t="s">
        <v>238</v>
      </c>
      <c r="C34" s="1883"/>
      <c r="D34" s="1814"/>
      <c r="E34" s="1298" t="s">
        <v>239</v>
      </c>
      <c r="F34" s="1299" t="s">
        <v>240</v>
      </c>
      <c r="G34" s="1299" t="s">
        <v>241</v>
      </c>
      <c r="H34" s="1087" t="s">
        <v>242</v>
      </c>
      <c r="I34" s="176"/>
      <c r="K34" s="320"/>
      <c r="L34" s="1395"/>
      <c r="M34" s="704"/>
      <c r="N34" s="704"/>
      <c r="O34" s="704"/>
      <c r="P34" s="704"/>
      <c r="Q34" s="704"/>
      <c r="R34" s="704"/>
      <c r="S34" s="704"/>
      <c r="T34" s="704"/>
      <c r="U34" s="704"/>
      <c r="V34" s="704"/>
    </row>
    <row r="35" spans="1:22">
      <c r="A35" s="1300">
        <f>ROW()</f>
        <v>35</v>
      </c>
      <c r="B35" s="1885" t="s">
        <v>1287</v>
      </c>
      <c r="C35" s="1885"/>
      <c r="D35" s="1885"/>
      <c r="E35" s="1301">
        <v>3</v>
      </c>
      <c r="F35" s="1302" t="s">
        <v>1288</v>
      </c>
      <c r="G35" s="1303">
        <v>566</v>
      </c>
      <c r="H35" s="1304">
        <v>1.2</v>
      </c>
      <c r="I35" s="176"/>
      <c r="K35" s="320"/>
      <c r="L35" s="541"/>
      <c r="M35" s="704"/>
      <c r="N35" s="704"/>
      <c r="O35" s="704"/>
      <c r="P35" s="704"/>
      <c r="Q35" s="704"/>
      <c r="R35" s="704"/>
      <c r="S35" s="704"/>
      <c r="T35" s="704"/>
      <c r="U35" s="704"/>
      <c r="V35" s="704"/>
    </row>
    <row r="36" spans="1:22">
      <c r="A36" s="912">
        <f>ROW()</f>
        <v>36</v>
      </c>
      <c r="B36" s="1886" t="s">
        <v>1289</v>
      </c>
      <c r="C36" s="1886"/>
      <c r="D36" s="1886"/>
      <c r="E36" s="478">
        <v>4</v>
      </c>
      <c r="F36" s="479" t="s">
        <v>1288</v>
      </c>
      <c r="G36" s="427">
        <v>455</v>
      </c>
      <c r="H36" s="1305">
        <v>1.7</v>
      </c>
      <c r="I36" s="176"/>
      <c r="K36" s="320"/>
      <c r="L36" s="541"/>
      <c r="M36" s="704"/>
      <c r="N36" s="704"/>
      <c r="O36" s="704"/>
      <c r="P36" s="704"/>
      <c r="Q36" s="704"/>
      <c r="R36" s="704"/>
      <c r="S36" s="704"/>
      <c r="T36" s="704"/>
      <c r="U36" s="704"/>
      <c r="V36" s="704"/>
    </row>
    <row r="37" spans="1:22">
      <c r="A37" s="912">
        <f>ROW()</f>
        <v>37</v>
      </c>
      <c r="B37" s="1886" t="s">
        <v>1290</v>
      </c>
      <c r="C37" s="1886"/>
      <c r="D37" s="1886"/>
      <c r="E37" s="478">
        <v>2</v>
      </c>
      <c r="F37" s="479" t="s">
        <v>1288</v>
      </c>
      <c r="G37" s="427">
        <v>645</v>
      </c>
      <c r="H37" s="1305">
        <v>2</v>
      </c>
      <c r="I37" s="176"/>
      <c r="K37" s="320"/>
      <c r="L37" s="541"/>
      <c r="M37" s="704"/>
      <c r="N37" s="704"/>
      <c r="O37" s="704"/>
      <c r="P37" s="704"/>
      <c r="Q37" s="704"/>
      <c r="R37" s="704"/>
      <c r="S37" s="704"/>
      <c r="T37" s="704"/>
      <c r="U37" s="704"/>
      <c r="V37" s="704"/>
    </row>
    <row r="38" spans="1:22">
      <c r="A38" s="912">
        <f>ROW()</f>
        <v>38</v>
      </c>
      <c r="B38" s="1886" t="s">
        <v>1291</v>
      </c>
      <c r="C38" s="1886"/>
      <c r="D38" s="1886"/>
      <c r="E38" s="478">
        <v>2</v>
      </c>
      <c r="F38" s="479" t="s">
        <v>1288</v>
      </c>
      <c r="G38" s="427">
        <v>628</v>
      </c>
      <c r="H38" s="1305">
        <v>0.8</v>
      </c>
      <c r="I38" s="176"/>
      <c r="K38" s="320"/>
      <c r="L38" s="541"/>
      <c r="M38" s="704"/>
      <c r="N38" s="704"/>
      <c r="O38" s="704"/>
      <c r="P38" s="704"/>
      <c r="Q38" s="704"/>
      <c r="R38" s="704"/>
      <c r="S38" s="704"/>
      <c r="T38" s="704"/>
      <c r="U38" s="704"/>
      <c r="V38" s="704"/>
    </row>
    <row r="39" spans="1:22">
      <c r="A39" s="912">
        <f>ROW()</f>
        <v>39</v>
      </c>
      <c r="B39" s="1886" t="s">
        <v>1292</v>
      </c>
      <c r="C39" s="1886"/>
      <c r="D39" s="1886"/>
      <c r="E39" s="478">
        <v>3</v>
      </c>
      <c r="F39" s="479" t="s">
        <v>1288</v>
      </c>
      <c r="G39" s="427">
        <v>626</v>
      </c>
      <c r="H39" s="1305">
        <v>0.5</v>
      </c>
      <c r="I39" s="176"/>
      <c r="K39" s="320"/>
      <c r="L39" s="541"/>
      <c r="M39" s="704"/>
      <c r="N39" s="704"/>
      <c r="O39" s="704"/>
      <c r="P39" s="704"/>
      <c r="Q39" s="704"/>
      <c r="R39" s="704"/>
      <c r="S39" s="704"/>
      <c r="T39" s="704"/>
      <c r="U39" s="704"/>
      <c r="V39" s="704"/>
    </row>
    <row r="40" spans="1:22">
      <c r="A40" s="912">
        <f>ROW()</f>
        <v>40</v>
      </c>
      <c r="B40" s="1886" t="s">
        <v>1293</v>
      </c>
      <c r="C40" s="1886"/>
      <c r="D40" s="1886"/>
      <c r="E40" s="478">
        <v>2</v>
      </c>
      <c r="F40" s="479" t="s">
        <v>1288</v>
      </c>
      <c r="G40" s="427">
        <v>622</v>
      </c>
      <c r="H40" s="1305">
        <v>0.5</v>
      </c>
      <c r="I40" s="176"/>
      <c r="K40" s="320"/>
      <c r="L40" s="541"/>
      <c r="M40" s="704"/>
      <c r="N40" s="704"/>
      <c r="O40" s="704"/>
      <c r="P40" s="704"/>
      <c r="Q40" s="704"/>
      <c r="R40" s="704"/>
      <c r="S40" s="704"/>
      <c r="T40" s="704"/>
      <c r="U40" s="704"/>
      <c r="V40" s="704"/>
    </row>
    <row r="41" spans="1:22">
      <c r="A41" s="912">
        <f>ROW()</f>
        <v>41</v>
      </c>
      <c r="B41" s="1886"/>
      <c r="C41" s="1886"/>
      <c r="D41" s="1886"/>
      <c r="E41" s="478"/>
      <c r="F41" s="479"/>
      <c r="G41" s="427">
        <v>0</v>
      </c>
      <c r="H41" s="1305">
        <v>0</v>
      </c>
      <c r="I41" s="176"/>
      <c r="K41" s="320"/>
      <c r="L41" s="541"/>
      <c r="M41" s="704"/>
      <c r="N41" s="704"/>
      <c r="O41" s="704"/>
      <c r="P41" s="704"/>
      <c r="Q41" s="704"/>
      <c r="R41" s="704"/>
      <c r="S41" s="704"/>
      <c r="T41" s="704"/>
      <c r="U41" s="704"/>
      <c r="V41" s="704"/>
    </row>
    <row r="42" spans="1:22">
      <c r="A42" s="912">
        <f>ROW()</f>
        <v>42</v>
      </c>
      <c r="B42" s="1886"/>
      <c r="C42" s="1886"/>
      <c r="D42" s="1886"/>
      <c r="E42" s="478"/>
      <c r="F42" s="479"/>
      <c r="G42" s="427">
        <v>0</v>
      </c>
      <c r="H42" s="1305">
        <v>0</v>
      </c>
      <c r="I42" s="176"/>
      <c r="K42" s="320"/>
      <c r="L42" s="541"/>
      <c r="M42" s="704"/>
      <c r="N42" s="704"/>
      <c r="O42" s="704"/>
      <c r="P42" s="704"/>
      <c r="Q42" s="704"/>
      <c r="R42" s="704"/>
      <c r="S42" s="704"/>
      <c r="T42" s="704"/>
      <c r="U42" s="704"/>
      <c r="V42" s="704"/>
    </row>
    <row r="43" spans="1:22">
      <c r="A43" s="912">
        <f>ROW()</f>
        <v>43</v>
      </c>
      <c r="B43" s="1816"/>
      <c r="C43" s="1816"/>
      <c r="D43" s="1816"/>
      <c r="E43" s="478"/>
      <c r="F43" s="479"/>
      <c r="G43" s="427"/>
      <c r="H43" s="1305"/>
      <c r="I43" s="176"/>
      <c r="K43" s="320"/>
      <c r="L43" s="541"/>
      <c r="M43" s="704"/>
      <c r="N43" s="704"/>
      <c r="O43" s="704"/>
      <c r="P43" s="704"/>
      <c r="Q43" s="704"/>
      <c r="R43" s="704"/>
      <c r="S43" s="704"/>
      <c r="T43" s="704"/>
      <c r="U43" s="704"/>
      <c r="V43" s="704"/>
    </row>
    <row r="44" spans="1:22">
      <c r="A44" s="912">
        <f>ROW()</f>
        <v>44</v>
      </c>
      <c r="B44" s="1816"/>
      <c r="C44" s="1816"/>
      <c r="D44" s="1816"/>
      <c r="E44" s="478"/>
      <c r="F44" s="479"/>
      <c r="G44" s="427"/>
      <c r="H44" s="1305"/>
      <c r="I44" s="176"/>
      <c r="K44" s="320"/>
      <c r="L44" s="541"/>
      <c r="M44" s="704"/>
      <c r="N44" s="704"/>
      <c r="O44" s="704"/>
      <c r="P44" s="704"/>
      <c r="Q44" s="704"/>
      <c r="R44" s="704"/>
      <c r="S44" s="704"/>
      <c r="T44" s="704"/>
      <c r="U44" s="704"/>
      <c r="V44" s="704"/>
    </row>
    <row r="45" spans="1:22">
      <c r="A45" s="912">
        <f>ROW()</f>
        <v>45</v>
      </c>
      <c r="B45" s="1886"/>
      <c r="C45" s="1886"/>
      <c r="D45" s="1886"/>
      <c r="E45" s="478"/>
      <c r="F45" s="479"/>
      <c r="G45" s="427">
        <v>0</v>
      </c>
      <c r="H45" s="1305">
        <v>0</v>
      </c>
      <c r="I45" s="176"/>
      <c r="K45" s="320"/>
      <c r="L45" s="541"/>
      <c r="M45" s="704"/>
      <c r="N45" s="704"/>
      <c r="O45" s="704"/>
      <c r="P45" s="704"/>
      <c r="Q45" s="704"/>
      <c r="R45" s="704"/>
      <c r="S45" s="704"/>
      <c r="T45" s="704"/>
      <c r="U45" s="704"/>
      <c r="V45" s="704"/>
    </row>
    <row r="46" spans="1:22">
      <c r="A46" s="1488">
        <f>ROW()</f>
        <v>46</v>
      </c>
      <c r="B46" s="1817"/>
      <c r="C46" s="1817"/>
      <c r="D46" s="1817"/>
      <c r="E46" s="1389"/>
      <c r="F46" s="1390"/>
      <c r="G46" s="429"/>
      <c r="H46" s="1391"/>
      <c r="I46" s="176"/>
      <c r="K46" s="320"/>
      <c r="L46" s="541"/>
      <c r="M46" s="704"/>
      <c r="N46" s="704"/>
      <c r="O46" s="704"/>
      <c r="P46" s="704"/>
      <c r="Q46" s="704"/>
      <c r="R46" s="704"/>
      <c r="S46" s="704"/>
      <c r="T46" s="704"/>
      <c r="U46" s="704"/>
      <c r="V46" s="704"/>
    </row>
    <row r="47" spans="1:22">
      <c r="A47" s="1488">
        <f>ROW()</f>
        <v>47</v>
      </c>
      <c r="B47" s="1817"/>
      <c r="C47" s="1817"/>
      <c r="D47" s="1817"/>
      <c r="E47" s="1389"/>
      <c r="F47" s="1390"/>
      <c r="G47" s="429"/>
      <c r="H47" s="1391"/>
      <c r="I47" s="176"/>
      <c r="K47" s="320"/>
      <c r="L47" s="541"/>
      <c r="M47" s="704"/>
      <c r="N47" s="704"/>
      <c r="O47" s="704"/>
      <c r="P47" s="704"/>
      <c r="Q47" s="704"/>
      <c r="R47" s="704"/>
      <c r="S47" s="704"/>
      <c r="T47" s="704"/>
      <c r="U47" s="704"/>
      <c r="V47" s="704"/>
    </row>
    <row r="48" spans="1:22">
      <c r="A48" s="1488">
        <f>ROW()</f>
        <v>48</v>
      </c>
      <c r="B48" s="1817"/>
      <c r="C48" s="1817"/>
      <c r="D48" s="1817"/>
      <c r="E48" s="1389"/>
      <c r="F48" s="1390"/>
      <c r="G48" s="429"/>
      <c r="H48" s="1391"/>
      <c r="I48" s="176"/>
      <c r="K48" s="320"/>
      <c r="L48" s="541"/>
      <c r="M48" s="704"/>
      <c r="N48" s="704"/>
      <c r="O48" s="704"/>
      <c r="P48" s="704"/>
      <c r="Q48" s="704"/>
      <c r="R48" s="704"/>
      <c r="S48" s="704"/>
      <c r="T48" s="704"/>
      <c r="U48" s="704"/>
      <c r="V48" s="704"/>
    </row>
    <row r="49" spans="1:22">
      <c r="A49" s="1488">
        <f>ROW()</f>
        <v>49</v>
      </c>
      <c r="B49" s="1817"/>
      <c r="C49" s="1817"/>
      <c r="D49" s="1817"/>
      <c r="E49" s="1389"/>
      <c r="F49" s="1390"/>
      <c r="G49" s="429"/>
      <c r="H49" s="1391"/>
      <c r="I49" s="176"/>
      <c r="K49" s="320"/>
      <c r="L49" s="541"/>
      <c r="M49" s="704"/>
      <c r="N49" s="704"/>
      <c r="O49" s="704"/>
      <c r="P49" s="704"/>
      <c r="Q49" s="704"/>
      <c r="R49" s="704"/>
      <c r="S49" s="704"/>
      <c r="T49" s="704"/>
      <c r="U49" s="704"/>
      <c r="V49" s="704"/>
    </row>
    <row r="50" spans="1:22">
      <c r="A50" s="1394">
        <f>ROW()</f>
        <v>50</v>
      </c>
      <c r="B50" s="1817"/>
      <c r="C50" s="1817"/>
      <c r="D50" s="1817"/>
      <c r="E50" s="1389"/>
      <c r="F50" s="1390"/>
      <c r="G50" s="429">
        <v>0</v>
      </c>
      <c r="H50" s="1391">
        <v>0</v>
      </c>
      <c r="I50" s="176"/>
      <c r="K50" s="320"/>
      <c r="L50" s="541"/>
      <c r="M50" s="704"/>
      <c r="N50" s="704"/>
      <c r="O50" s="704"/>
      <c r="P50" s="704"/>
      <c r="Q50" s="704"/>
      <c r="R50" s="704"/>
      <c r="S50" s="704"/>
      <c r="T50" s="704"/>
      <c r="U50" s="704"/>
      <c r="V50" s="704"/>
    </row>
    <row r="51" spans="1:22">
      <c r="A51" s="104"/>
      <c r="B51" s="238"/>
      <c r="C51" s="238"/>
      <c r="D51" s="238"/>
      <c r="E51" s="238"/>
      <c r="F51" s="1392"/>
      <c r="G51" s="1392">
        <f>SUM(G35:G50)</f>
        <v>3542</v>
      </c>
      <c r="H51" s="1393">
        <f>IFERROR(SUMPRODUCT(G35:G50,H35:H50)/G51,0)</f>
        <v>1.0923489553924337</v>
      </c>
      <c r="I51" s="176"/>
      <c r="K51" s="506"/>
      <c r="L51" s="541"/>
      <c r="M51" s="704"/>
      <c r="N51" s="704"/>
      <c r="O51" s="704"/>
      <c r="P51" s="704"/>
      <c r="Q51" s="704"/>
      <c r="R51" s="704"/>
      <c r="S51" s="704"/>
      <c r="T51" s="704"/>
      <c r="U51" s="704"/>
      <c r="V51" s="704"/>
    </row>
    <row r="52" spans="1:22">
      <c r="A52" s="104"/>
      <c r="B52" s="522" t="s">
        <v>243</v>
      </c>
      <c r="C52" s="108"/>
      <c r="D52" s="108"/>
      <c r="E52" s="108"/>
      <c r="F52" s="262"/>
      <c r="G52" s="262"/>
      <c r="H52" s="507"/>
      <c r="I52" s="176"/>
      <c r="K52" s="506"/>
      <c r="L52" s="541"/>
      <c r="M52" s="704"/>
      <c r="N52" s="704"/>
      <c r="O52" s="704"/>
      <c r="P52" s="704"/>
      <c r="Q52" s="704"/>
      <c r="R52" s="704"/>
      <c r="S52" s="704"/>
      <c r="T52" s="704"/>
      <c r="U52" s="704"/>
      <c r="V52" s="704"/>
    </row>
    <row r="53" spans="1:22">
      <c r="A53" s="104"/>
      <c r="B53" s="267" t="s">
        <v>244</v>
      </c>
      <c r="C53" s="108"/>
      <c r="D53" s="108"/>
      <c r="E53" s="108"/>
      <c r="F53" s="262"/>
      <c r="G53" s="262"/>
      <c r="H53" s="507"/>
      <c r="I53" s="176"/>
      <c r="K53" s="506"/>
      <c r="L53" s="541"/>
      <c r="M53" s="704"/>
      <c r="N53" s="704"/>
      <c r="O53" s="704"/>
      <c r="P53" s="704"/>
      <c r="Q53" s="704"/>
      <c r="R53" s="704"/>
      <c r="S53" s="704"/>
      <c r="T53" s="704"/>
      <c r="U53" s="704"/>
      <c r="V53" s="704"/>
    </row>
    <row r="54" spans="1:22">
      <c r="A54" s="104"/>
      <c r="B54" s="108"/>
      <c r="C54" s="108"/>
      <c r="D54" s="108"/>
      <c r="E54" s="108"/>
      <c r="F54" s="262"/>
      <c r="G54" s="262"/>
      <c r="H54" s="507"/>
      <c r="I54" s="176"/>
      <c r="K54" s="506"/>
      <c r="L54" s="541"/>
      <c r="M54" s="704"/>
      <c r="N54" s="704"/>
      <c r="O54" s="704"/>
      <c r="P54" s="704"/>
      <c r="Q54" s="704"/>
      <c r="R54" s="704"/>
      <c r="S54" s="704"/>
      <c r="T54" s="704"/>
      <c r="U54" s="704"/>
      <c r="V54" s="704"/>
    </row>
    <row r="55" spans="1:22" ht="15.75">
      <c r="A55" s="322" t="s">
        <v>245</v>
      </c>
      <c r="B55" s="722"/>
      <c r="C55" s="722"/>
      <c r="D55" s="722"/>
      <c r="E55" s="110"/>
      <c r="F55" s="1071"/>
      <c r="G55" s="1072"/>
      <c r="H55" s="1072"/>
      <c r="I55" s="176"/>
      <c r="K55" s="80"/>
      <c r="L55" s="541"/>
      <c r="M55" s="704"/>
      <c r="N55" s="704"/>
      <c r="O55" s="704"/>
      <c r="P55" s="704"/>
      <c r="Q55" s="704"/>
      <c r="R55" s="704"/>
      <c r="S55" s="704"/>
      <c r="T55" s="704"/>
      <c r="U55" s="704"/>
      <c r="V55" s="704"/>
    </row>
    <row r="56" spans="1:22" ht="35.25" customHeight="1">
      <c r="A56" s="321"/>
      <c r="B56" s="1884" t="s">
        <v>238</v>
      </c>
      <c r="C56" s="1884"/>
      <c r="D56" s="1815"/>
      <c r="E56" s="1085" t="s">
        <v>239</v>
      </c>
      <c r="F56" s="1086" t="s">
        <v>240</v>
      </c>
      <c r="G56" s="1086" t="s">
        <v>241</v>
      </c>
      <c r="H56" s="1087" t="s">
        <v>242</v>
      </c>
      <c r="I56" s="176"/>
      <c r="K56" s="80"/>
      <c r="L56" s="1395" t="s">
        <v>246</v>
      </c>
      <c r="M56" s="704"/>
      <c r="N56" s="704"/>
      <c r="O56" s="704"/>
      <c r="P56" s="704"/>
      <c r="Q56" s="704"/>
      <c r="R56" s="704"/>
      <c r="S56" s="704"/>
      <c r="T56" s="704"/>
      <c r="U56" s="704"/>
      <c r="V56" s="704"/>
    </row>
    <row r="57" spans="1:22">
      <c r="A57" s="913">
        <f>ROW()</f>
        <v>57</v>
      </c>
      <c r="B57" s="1885" t="s">
        <v>70</v>
      </c>
      <c r="C57" s="1885"/>
      <c r="D57" s="1885"/>
      <c r="E57" s="478"/>
      <c r="F57" s="479"/>
      <c r="G57" s="427">
        <v>0</v>
      </c>
      <c r="H57" s="1304">
        <v>1</v>
      </c>
      <c r="I57" s="176"/>
      <c r="K57" s="80"/>
      <c r="L57" s="541"/>
      <c r="M57" s="704"/>
      <c r="N57" s="704"/>
      <c r="O57" s="704"/>
      <c r="P57" s="704"/>
      <c r="Q57" s="704"/>
      <c r="R57" s="704"/>
      <c r="S57" s="704"/>
      <c r="T57" s="704"/>
      <c r="U57" s="704"/>
      <c r="V57" s="704"/>
    </row>
    <row r="58" spans="1:22">
      <c r="A58" s="912">
        <f>ROW()</f>
        <v>58</v>
      </c>
      <c r="B58" s="1886"/>
      <c r="C58" s="1886"/>
      <c r="D58" s="1886"/>
      <c r="E58" s="478"/>
      <c r="F58" s="479"/>
      <c r="G58" s="427">
        <v>0</v>
      </c>
      <c r="H58" s="1305">
        <v>0</v>
      </c>
      <c r="I58" s="176"/>
      <c r="K58" s="80"/>
      <c r="L58" s="541"/>
      <c r="M58" s="704"/>
      <c r="N58" s="704"/>
      <c r="O58" s="704"/>
      <c r="P58" s="704"/>
      <c r="Q58" s="704"/>
      <c r="R58" s="704"/>
      <c r="S58" s="704"/>
      <c r="T58" s="704"/>
      <c r="U58" s="704"/>
      <c r="V58" s="704"/>
    </row>
    <row r="59" spans="1:22">
      <c r="A59" s="912">
        <f>ROW()</f>
        <v>59</v>
      </c>
      <c r="B59" s="1886"/>
      <c r="C59" s="1886"/>
      <c r="D59" s="1886"/>
      <c r="E59" s="478"/>
      <c r="F59" s="479"/>
      <c r="G59" s="427">
        <v>0</v>
      </c>
      <c r="H59" s="1305">
        <v>0</v>
      </c>
      <c r="I59" s="176"/>
      <c r="K59" s="80"/>
      <c r="L59" s="541"/>
      <c r="M59" s="704"/>
      <c r="N59" s="704"/>
      <c r="O59" s="704"/>
      <c r="P59" s="704"/>
      <c r="Q59" s="704"/>
      <c r="R59" s="704"/>
      <c r="S59" s="704"/>
      <c r="T59" s="704"/>
      <c r="U59" s="704"/>
      <c r="V59" s="704"/>
    </row>
    <row r="60" spans="1:22">
      <c r="A60" s="912">
        <f>ROW()</f>
        <v>60</v>
      </c>
      <c r="B60" s="1886"/>
      <c r="C60" s="1886"/>
      <c r="D60" s="1886"/>
      <c r="E60" s="478"/>
      <c r="F60" s="479"/>
      <c r="G60" s="427">
        <v>0</v>
      </c>
      <c r="H60" s="1305">
        <v>0</v>
      </c>
      <c r="I60" s="176"/>
      <c r="K60" s="80"/>
      <c r="L60" s="541"/>
      <c r="M60" s="704"/>
      <c r="N60" s="704"/>
      <c r="O60" s="704"/>
      <c r="P60" s="704"/>
      <c r="Q60" s="704"/>
      <c r="R60" s="704"/>
      <c r="S60" s="704"/>
      <c r="T60" s="704"/>
      <c r="U60" s="704"/>
      <c r="V60" s="704"/>
    </row>
    <row r="61" spans="1:22">
      <c r="A61" s="912">
        <f>ROW()</f>
        <v>61</v>
      </c>
      <c r="B61" s="1886"/>
      <c r="C61" s="1886"/>
      <c r="D61" s="1886"/>
      <c r="E61" s="478"/>
      <c r="F61" s="479"/>
      <c r="G61" s="427">
        <v>0</v>
      </c>
      <c r="H61" s="1305">
        <v>0</v>
      </c>
      <c r="I61" s="176"/>
      <c r="K61" s="80"/>
      <c r="L61" s="541"/>
      <c r="M61" s="704"/>
      <c r="N61" s="704"/>
      <c r="O61" s="704"/>
      <c r="P61" s="704"/>
      <c r="Q61" s="704"/>
      <c r="R61" s="704"/>
      <c r="S61" s="704"/>
      <c r="T61" s="704"/>
      <c r="U61" s="704"/>
      <c r="V61" s="704"/>
    </row>
    <row r="62" spans="1:22">
      <c r="A62" s="912">
        <f>ROW()</f>
        <v>62</v>
      </c>
      <c r="B62" s="1816"/>
      <c r="C62" s="1816"/>
      <c r="D62" s="1816"/>
      <c r="E62" s="478"/>
      <c r="F62" s="479"/>
      <c r="G62" s="427">
        <v>0</v>
      </c>
      <c r="H62" s="1305">
        <v>0</v>
      </c>
      <c r="I62" s="176"/>
      <c r="K62" s="80"/>
      <c r="L62" s="541"/>
      <c r="M62" s="704"/>
      <c r="N62" s="704"/>
      <c r="O62" s="704"/>
      <c r="P62" s="704"/>
      <c r="Q62" s="704"/>
      <c r="R62" s="704"/>
      <c r="S62" s="704"/>
      <c r="T62" s="704"/>
      <c r="U62" s="704"/>
      <c r="V62" s="704"/>
    </row>
    <row r="63" spans="1:22">
      <c r="A63" s="912">
        <f>ROW()</f>
        <v>63</v>
      </c>
      <c r="B63" s="1816"/>
      <c r="C63" s="1816"/>
      <c r="D63" s="1816"/>
      <c r="E63" s="478"/>
      <c r="F63" s="479"/>
      <c r="G63" s="427">
        <v>0</v>
      </c>
      <c r="H63" s="1305">
        <v>0</v>
      </c>
      <c r="I63" s="176"/>
      <c r="K63" s="80"/>
      <c r="L63" s="541"/>
      <c r="M63" s="704"/>
      <c r="N63" s="704"/>
      <c r="O63" s="704"/>
      <c r="P63" s="704"/>
      <c r="Q63" s="704"/>
      <c r="R63" s="704"/>
      <c r="S63" s="704"/>
      <c r="T63" s="704"/>
      <c r="U63" s="704"/>
      <c r="V63" s="704"/>
    </row>
    <row r="64" spans="1:22">
      <c r="A64" s="912">
        <f>ROW()</f>
        <v>64</v>
      </c>
      <c r="B64" s="1816"/>
      <c r="C64" s="1816"/>
      <c r="D64" s="1816"/>
      <c r="E64" s="478"/>
      <c r="F64" s="479"/>
      <c r="G64" s="427">
        <v>0</v>
      </c>
      <c r="H64" s="1305">
        <v>0</v>
      </c>
      <c r="I64" s="176"/>
      <c r="K64" s="80"/>
      <c r="L64" s="541"/>
      <c r="M64" s="704"/>
      <c r="N64" s="704"/>
      <c r="O64" s="704"/>
      <c r="P64" s="704"/>
      <c r="Q64" s="704"/>
      <c r="R64" s="704"/>
      <c r="S64" s="704"/>
      <c r="T64" s="704"/>
      <c r="U64" s="704"/>
      <c r="V64" s="704"/>
    </row>
    <row r="65" spans="1:22">
      <c r="A65" s="912">
        <f>ROW()</f>
        <v>65</v>
      </c>
      <c r="B65" s="1816"/>
      <c r="C65" s="1816"/>
      <c r="D65" s="1816"/>
      <c r="E65" s="478"/>
      <c r="F65" s="479"/>
      <c r="G65" s="427">
        <v>0</v>
      </c>
      <c r="H65" s="1305">
        <v>0</v>
      </c>
      <c r="I65" s="176"/>
      <c r="K65" s="80"/>
      <c r="L65" s="541"/>
      <c r="M65" s="704"/>
      <c r="N65" s="704"/>
      <c r="O65" s="704"/>
      <c r="P65" s="704"/>
      <c r="Q65" s="704"/>
      <c r="R65" s="704"/>
      <c r="S65" s="704"/>
      <c r="T65" s="704"/>
      <c r="U65" s="704"/>
      <c r="V65" s="704"/>
    </row>
    <row r="66" spans="1:22">
      <c r="A66" s="1394">
        <f>ROW()</f>
        <v>66</v>
      </c>
      <c r="B66" s="1887"/>
      <c r="C66" s="1887"/>
      <c r="D66" s="1887"/>
      <c r="E66" s="1389"/>
      <c r="F66" s="1390"/>
      <c r="G66" s="429">
        <v>0</v>
      </c>
      <c r="H66" s="1391">
        <v>0</v>
      </c>
      <c r="I66" s="176"/>
      <c r="K66" s="80"/>
      <c r="L66" s="541"/>
      <c r="M66" s="704"/>
      <c r="N66" s="704"/>
      <c r="O66" s="704"/>
      <c r="P66" s="704"/>
      <c r="Q66" s="704"/>
      <c r="R66" s="704"/>
      <c r="S66" s="704"/>
      <c r="T66" s="704"/>
      <c r="U66" s="704"/>
      <c r="V66" s="704"/>
    </row>
    <row r="67" spans="1:22" ht="13.5" customHeight="1">
      <c r="A67" s="104"/>
      <c r="B67" s="238"/>
      <c r="C67" s="238"/>
      <c r="D67" s="238"/>
      <c r="E67" s="238"/>
      <c r="F67" s="1392"/>
      <c r="G67" s="1392">
        <f>SUM(G57:G66)</f>
        <v>0</v>
      </c>
      <c r="H67" s="1393">
        <f>IFERROR(SUMPRODUCT(G57:G66,H57:H66)/G67,0)</f>
        <v>0</v>
      </c>
      <c r="I67" s="176"/>
      <c r="K67" s="262"/>
      <c r="L67" s="541"/>
      <c r="M67" s="704"/>
      <c r="N67" s="704"/>
      <c r="O67" s="704"/>
      <c r="P67" s="704"/>
      <c r="Q67" s="704"/>
      <c r="R67" s="704"/>
      <c r="S67" s="704"/>
      <c r="T67" s="704"/>
      <c r="U67" s="704"/>
      <c r="V67" s="704"/>
    </row>
    <row r="68" spans="1:22">
      <c r="A68" s="104"/>
      <c r="B68" s="115"/>
      <c r="C68" s="115"/>
      <c r="D68" s="115"/>
      <c r="E68" s="108"/>
      <c r="F68" s="116"/>
      <c r="G68" s="117"/>
      <c r="H68" s="117"/>
      <c r="I68" s="176"/>
      <c r="K68" s="262"/>
      <c r="L68" s="541"/>
      <c r="M68" s="704"/>
      <c r="N68" s="704"/>
      <c r="O68" s="704"/>
      <c r="P68" s="704"/>
      <c r="Q68" s="704"/>
      <c r="R68" s="704"/>
      <c r="S68" s="704"/>
      <c r="T68" s="704"/>
      <c r="U68" s="704"/>
      <c r="V68" s="704"/>
    </row>
    <row r="69" spans="1:22">
      <c r="B69" s="106"/>
      <c r="C69" s="106"/>
      <c r="D69" s="106"/>
      <c r="E69" s="106"/>
      <c r="F69" s="106"/>
      <c r="G69" s="106"/>
      <c r="H69" s="106"/>
      <c r="I69" s="176"/>
      <c r="M69" s="704"/>
      <c r="N69" s="704"/>
      <c r="O69" s="704"/>
      <c r="P69" s="704"/>
      <c r="Q69" s="704"/>
      <c r="R69" s="704"/>
      <c r="S69" s="704"/>
      <c r="T69" s="704"/>
      <c r="U69" s="704"/>
      <c r="V69" s="704"/>
    </row>
    <row r="70" spans="1:22">
      <c r="B70" s="84"/>
      <c r="C70" s="84"/>
      <c r="D70" s="84"/>
      <c r="E70" s="84"/>
      <c r="F70" s="84"/>
      <c r="G70" s="84"/>
      <c r="M70" s="704"/>
      <c r="N70" s="704"/>
      <c r="O70" s="704"/>
      <c r="P70" s="704"/>
      <c r="Q70" s="704"/>
      <c r="R70" s="704"/>
      <c r="S70" s="704"/>
      <c r="T70" s="704"/>
      <c r="U70" s="704"/>
      <c r="V70" s="704"/>
    </row>
    <row r="71" spans="1:22">
      <c r="M71" s="704"/>
      <c r="N71" s="704"/>
      <c r="O71" s="704"/>
      <c r="P71" s="704"/>
      <c r="Q71" s="704"/>
      <c r="R71" s="704"/>
      <c r="S71" s="704"/>
      <c r="T71" s="704"/>
      <c r="U71" s="704"/>
      <c r="V71" s="704"/>
    </row>
    <row r="72" spans="1:22">
      <c r="M72" s="704"/>
      <c r="N72" s="704"/>
      <c r="O72" s="704"/>
      <c r="P72" s="704"/>
      <c r="Q72" s="704"/>
      <c r="R72" s="704"/>
      <c r="S72" s="704"/>
      <c r="T72" s="704"/>
      <c r="U72" s="704"/>
      <c r="V72" s="704"/>
    </row>
    <row r="73" spans="1:22">
      <c r="M73" s="704"/>
      <c r="N73" s="704"/>
      <c r="O73" s="704"/>
      <c r="P73" s="704"/>
      <c r="Q73" s="704"/>
      <c r="R73" s="704"/>
      <c r="S73" s="704"/>
      <c r="T73" s="704"/>
      <c r="U73" s="704"/>
      <c r="V73" s="704"/>
    </row>
    <row r="74" spans="1:22">
      <c r="M74" s="704"/>
      <c r="N74" s="704"/>
      <c r="O74" s="704"/>
      <c r="P74" s="704"/>
      <c r="Q74" s="704"/>
      <c r="R74" s="704"/>
      <c r="S74" s="704"/>
      <c r="T74" s="704"/>
      <c r="U74" s="704"/>
      <c r="V74" s="704"/>
    </row>
    <row r="75" spans="1:22">
      <c r="M75" s="704"/>
      <c r="N75" s="704"/>
      <c r="O75" s="704"/>
      <c r="P75" s="704"/>
      <c r="Q75" s="704"/>
      <c r="R75" s="704"/>
      <c r="S75" s="704"/>
      <c r="T75" s="704"/>
      <c r="U75" s="704"/>
      <c r="V75" s="704"/>
    </row>
    <row r="76" spans="1:22">
      <c r="M76" s="704"/>
      <c r="N76" s="704"/>
      <c r="O76" s="704"/>
      <c r="P76" s="704"/>
      <c r="Q76" s="704"/>
      <c r="R76" s="704"/>
      <c r="S76" s="704"/>
      <c r="T76" s="704"/>
      <c r="U76" s="704"/>
      <c r="V76" s="704"/>
    </row>
    <row r="77" spans="1:22">
      <c r="M77" s="704"/>
      <c r="N77" s="704"/>
      <c r="O77" s="704"/>
      <c r="P77" s="704"/>
      <c r="Q77" s="704"/>
      <c r="R77" s="704"/>
      <c r="S77" s="704"/>
      <c r="T77" s="704"/>
      <c r="U77" s="704"/>
      <c r="V77" s="704"/>
    </row>
    <row r="78" spans="1:22">
      <c r="M78" s="704"/>
      <c r="N78" s="704"/>
      <c r="O78" s="704"/>
      <c r="P78" s="704"/>
      <c r="Q78" s="704"/>
      <c r="R78" s="704"/>
      <c r="S78" s="704"/>
      <c r="T78" s="704"/>
      <c r="U78" s="704"/>
      <c r="V78" s="704"/>
    </row>
    <row r="79" spans="1:22">
      <c r="M79" s="704"/>
      <c r="N79" s="704"/>
      <c r="O79" s="704"/>
      <c r="P79" s="704"/>
      <c r="Q79" s="704"/>
      <c r="R79" s="704"/>
      <c r="S79" s="704"/>
      <c r="T79" s="704"/>
      <c r="U79" s="704"/>
      <c r="V79" s="704"/>
    </row>
    <row r="80" spans="1:22">
      <c r="M80" s="704"/>
      <c r="N80" s="704"/>
      <c r="O80" s="704"/>
      <c r="P80" s="704"/>
      <c r="Q80" s="704"/>
      <c r="R80" s="704"/>
      <c r="S80" s="704"/>
      <c r="T80" s="704"/>
      <c r="U80" s="704"/>
      <c r="V80" s="704"/>
    </row>
    <row r="81" spans="13:22">
      <c r="M81" s="704"/>
      <c r="N81" s="704"/>
      <c r="O81" s="704"/>
      <c r="P81" s="704"/>
      <c r="Q81" s="704"/>
      <c r="R81" s="704"/>
      <c r="S81" s="704"/>
      <c r="T81" s="704"/>
      <c r="U81" s="704"/>
      <c r="V81" s="704"/>
    </row>
  </sheetData>
  <sheetProtection algorithmName="SHA-512" hashValue="X4MQatnNHeL5kKZOnG8cKUWe3f2o5QhreRpCfTLIq69PUKvbSIDrG515LQyEuKQnKltRfFNkklHcKoRtVqBf3Q==" saltValue="bMMr2KYfSn5m+mh1UT+Z/w==" spinCount="100000" sheet="1" objects="1" scenarios="1"/>
  <mergeCells count="17">
    <mergeCell ref="B66:D66"/>
    <mergeCell ref="B57:D57"/>
    <mergeCell ref="B58:D58"/>
    <mergeCell ref="B59:D59"/>
    <mergeCell ref="B60:D60"/>
    <mergeCell ref="B61:D61"/>
    <mergeCell ref="B34:C34"/>
    <mergeCell ref="B56:C56"/>
    <mergeCell ref="B35:D35"/>
    <mergeCell ref="B36:D36"/>
    <mergeCell ref="B37:D37"/>
    <mergeCell ref="B38:D38"/>
    <mergeCell ref="B39:D39"/>
    <mergeCell ref="B40:D40"/>
    <mergeCell ref="B41:D41"/>
    <mergeCell ref="B42:D42"/>
    <mergeCell ref="B45:D45"/>
  </mergeCells>
  <conditionalFormatting sqref="B14:C26">
    <cfRule type="expression" dxfId="75" priority="66" stopIfTrue="1">
      <formula>MOD(ROW(),2)=0</formula>
    </cfRule>
  </conditionalFormatting>
  <conditionalFormatting sqref="D14:J26">
    <cfRule type="cellIs" dxfId="74" priority="67" stopIfTrue="1" operator="equal">
      <formula>0</formula>
    </cfRule>
  </conditionalFormatting>
  <conditionalFormatting sqref="D11:D12">
    <cfRule type="cellIs" dxfId="73" priority="68" stopIfTrue="1" operator="equal">
      <formula>0</formula>
    </cfRule>
  </conditionalFormatting>
  <conditionalFormatting sqref="E11:J12">
    <cfRule type="cellIs" dxfId="72" priority="69" stopIfTrue="1" operator="equal">
      <formula>0</formula>
    </cfRule>
  </conditionalFormatting>
  <conditionalFormatting sqref="D1">
    <cfRule type="expression" dxfId="71" priority="7" stopIfTrue="1">
      <formula>MOD(ROW(),2)=0</formula>
    </cfRule>
  </conditionalFormatting>
  <hyperlinks>
    <hyperlink ref="D1" location="HypLink1" display="HypLink1"/>
  </hyperlinks>
  <pageMargins left="0.25" right="0.25" top="0.5" bottom="0.45" header="0.25" footer="0.25"/>
  <pageSetup scale="89" fitToHeight="4" orientation="landscape" r:id="rId1"/>
  <headerFooter>
    <oddHeader xml:space="preserve">&amp;L &amp;C &amp;R </oddHeader>
    <oddFooter>&amp;L&amp;7&amp;D  at &amp;T Mike 702.854.0691&amp;C&amp;7&amp;F  &amp;A&amp;R&amp;7Page &amp;P of &amp;N</oddFooter>
  </headerFooter>
  <rowBreaks count="1" manualBreakCount="1">
    <brk id="32"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50"/>
  </sheetPr>
  <dimension ref="A1:AA112"/>
  <sheetViews>
    <sheetView showGridLines="0" topLeftCell="A9" zoomScaleNormal="100" workbookViewId="0">
      <pane xSplit="2" ySplit="3" topLeftCell="C73" activePane="bottomRight" state="frozen"/>
      <selection activeCell="B65" sqref="B65"/>
      <selection pane="topRight" activeCell="B65" sqref="B65"/>
      <selection pane="bottomLeft" activeCell="B65" sqref="B65"/>
      <selection pane="bottomRight" activeCell="M53" sqref="M53"/>
    </sheetView>
  </sheetViews>
  <sheetFormatPr defaultColWidth="8.85546875" defaultRowHeight="15" outlineLevelRow="1"/>
  <cols>
    <col min="1" max="1" width="5.5703125" style="80" customWidth="1"/>
    <col min="2" max="2" width="44.140625" style="80" customWidth="1"/>
    <col min="3" max="3" width="17.7109375" style="80" customWidth="1"/>
    <col min="4" max="5" width="8.85546875" style="80" customWidth="1"/>
    <col min="6" max="6" width="11" style="80" customWidth="1"/>
    <col min="7" max="7" width="15.28515625" style="80" customWidth="1"/>
    <col min="8" max="8" width="16.140625" style="84" customWidth="1"/>
    <col min="9" max="10" width="21" style="84" customWidth="1"/>
    <col min="11" max="13" width="17" style="80" customWidth="1"/>
    <col min="14" max="14" width="1.140625" style="80" customWidth="1"/>
    <col min="15" max="15" width="88.5703125" style="80" customWidth="1"/>
    <col min="16" max="25" width="12.28515625" style="80" customWidth="1"/>
    <col min="26" max="16384" width="8.85546875" style="80"/>
  </cols>
  <sheetData>
    <row r="1" spans="1:27" ht="18">
      <c r="A1" s="203" t="s">
        <v>247</v>
      </c>
      <c r="B1" s="79"/>
      <c r="D1" s="640" t="s">
        <v>2</v>
      </c>
      <c r="E1" s="640"/>
      <c r="F1" s="640"/>
    </row>
    <row r="2" spans="1:27" ht="15.75">
      <c r="A2" s="201" t="str">
        <f>SchoolName</f>
        <v>Strong Start Academy Elementary School</v>
      </c>
      <c r="B2" s="81"/>
    </row>
    <row r="3" spans="1:27">
      <c r="A3" s="83" t="s">
        <v>62</v>
      </c>
      <c r="L3" s="86"/>
    </row>
    <row r="4" spans="1:27">
      <c r="A4" s="85" t="s">
        <v>63</v>
      </c>
    </row>
    <row r="5" spans="1:27">
      <c r="A5" s="76" t="str">
        <f ca="1">CELL("filename")</f>
        <v>C:\Users\rsaucedo\OneDrive - City of Las Vegas\CLV Charter School\[Strong Start Academy Elementary School Financial Workbook 2021.xlsx]Incubation</v>
      </c>
    </row>
    <row r="6" spans="1:27" ht="15.75">
      <c r="A6" s="101"/>
      <c r="D6" s="102" t="s">
        <v>248</v>
      </c>
      <c r="E6" s="102"/>
      <c r="F6" s="102"/>
      <c r="H6" s="432"/>
      <c r="K6" s="102"/>
    </row>
    <row r="7" spans="1:27">
      <c r="A7" s="101"/>
      <c r="D7" s="103" t="s">
        <v>249</v>
      </c>
      <c r="E7" s="103"/>
      <c r="F7" s="103"/>
      <c r="H7" s="77"/>
      <c r="K7" s="103"/>
    </row>
    <row r="8" spans="1:27">
      <c r="A8" s="101"/>
      <c r="G8" s="804"/>
      <c r="H8" s="145"/>
      <c r="I8" s="150"/>
      <c r="J8" s="150"/>
      <c r="K8" s="150"/>
      <c r="L8" s="150"/>
      <c r="M8" s="150"/>
    </row>
    <row r="9" spans="1:27">
      <c r="A9" s="101"/>
      <c r="B9" s="86"/>
      <c r="C9" s="42"/>
      <c r="D9" s="42"/>
      <c r="E9" s="42"/>
      <c r="F9" s="42"/>
      <c r="G9" s="1090" t="s">
        <v>214</v>
      </c>
      <c r="H9" s="1091">
        <v>1</v>
      </c>
      <c r="I9" s="1091">
        <f>1+H9</f>
        <v>2</v>
      </c>
      <c r="J9" s="1091">
        <f>1+I9</f>
        <v>3</v>
      </c>
      <c r="K9" s="1091">
        <f>1+J9</f>
        <v>4</v>
      </c>
      <c r="L9" s="1091">
        <f>1+K9</f>
        <v>5</v>
      </c>
      <c r="M9" s="1823">
        <f>1+L9</f>
        <v>6</v>
      </c>
    </row>
    <row r="10" spans="1:27">
      <c r="A10" s="745"/>
      <c r="B10" s="105"/>
      <c r="C10" s="42"/>
      <c r="D10" s="42"/>
      <c r="E10" s="42"/>
      <c r="F10" s="42"/>
      <c r="G10" s="1092">
        <f>+H10-1</f>
        <v>2021</v>
      </c>
      <c r="H10" s="1093">
        <f>Cover!E11</f>
        <v>2022</v>
      </c>
      <c r="I10" s="1093">
        <f>+H11</f>
        <v>2023</v>
      </c>
      <c r="J10" s="1093">
        <f>+I11</f>
        <v>2024</v>
      </c>
      <c r="K10" s="1093">
        <f>+J11</f>
        <v>2025</v>
      </c>
      <c r="L10" s="1093">
        <f>+K11</f>
        <v>2026</v>
      </c>
      <c r="M10" s="1094">
        <f>+L11</f>
        <v>2027</v>
      </c>
    </row>
    <row r="11" spans="1:27" s="84" customFormat="1" ht="18.75">
      <c r="A11" s="745">
        <f>ROW()</f>
        <v>11</v>
      </c>
      <c r="B11" s="1098" t="s">
        <v>247</v>
      </c>
      <c r="C11" s="1099" t="s">
        <v>250</v>
      </c>
      <c r="D11" s="1100"/>
      <c r="E11" s="1100"/>
      <c r="F11" s="1786"/>
      <c r="G11" s="1095">
        <f>+H11-1</f>
        <v>2022</v>
      </c>
      <c r="H11" s="1096">
        <f t="shared" ref="H11:M11" si="0">+H10+1</f>
        <v>2023</v>
      </c>
      <c r="I11" s="1096">
        <f t="shared" si="0"/>
        <v>2024</v>
      </c>
      <c r="J11" s="1096">
        <f t="shared" si="0"/>
        <v>2025</v>
      </c>
      <c r="K11" s="1096">
        <f t="shared" si="0"/>
        <v>2026</v>
      </c>
      <c r="L11" s="1096">
        <f t="shared" si="0"/>
        <v>2027</v>
      </c>
      <c r="M11" s="1097">
        <f t="shared" si="0"/>
        <v>2028</v>
      </c>
      <c r="P11" s="80"/>
      <c r="Q11" s="80"/>
      <c r="R11" s="80"/>
      <c r="S11" s="80"/>
      <c r="T11" s="80"/>
      <c r="U11" s="80"/>
      <c r="V11" s="80"/>
      <c r="W11" s="80"/>
      <c r="X11" s="80"/>
      <c r="Y11" s="80"/>
      <c r="Z11" s="80"/>
      <c r="AA11" s="80"/>
    </row>
    <row r="12" spans="1:27" s="84" customFormat="1" ht="15.75">
      <c r="A12" s="745">
        <f>ROW()</f>
        <v>12</v>
      </c>
      <c r="B12" s="149" t="s">
        <v>251</v>
      </c>
      <c r="C12" s="46"/>
      <c r="D12" s="946"/>
      <c r="E12" s="946"/>
      <c r="F12" s="946"/>
      <c r="G12" s="413"/>
      <c r="H12" s="1834"/>
      <c r="I12" s="1834"/>
      <c r="J12" s="1834"/>
      <c r="K12" s="1834"/>
      <c r="L12" s="1834"/>
      <c r="M12" s="1834"/>
      <c r="P12" s="80"/>
      <c r="Q12" s="80"/>
      <c r="R12" s="80"/>
      <c r="S12" s="80"/>
      <c r="T12" s="80"/>
      <c r="U12" s="80"/>
      <c r="V12" s="80"/>
      <c r="W12" s="80"/>
      <c r="X12" s="80"/>
      <c r="Y12" s="80"/>
      <c r="Z12" s="80"/>
      <c r="AA12" s="80"/>
    </row>
    <row r="13" spans="1:27" s="84" customFormat="1" ht="15.75">
      <c r="A13" s="745">
        <f>ROW()</f>
        <v>13</v>
      </c>
      <c r="B13" s="1306" t="s">
        <v>122</v>
      </c>
      <c r="C13" s="1307"/>
      <c r="D13" s="1307"/>
      <c r="E13" s="1307"/>
      <c r="F13" s="1307"/>
      <c r="G13" s="1100"/>
      <c r="H13" s="1099"/>
      <c r="I13" s="1099"/>
      <c r="J13" s="1099"/>
      <c r="K13" s="1099"/>
      <c r="L13" s="1099"/>
      <c r="M13" s="1099"/>
      <c r="O13" s="1813" t="s">
        <v>84</v>
      </c>
      <c r="P13" s="80"/>
      <c r="Q13" s="80"/>
      <c r="R13" s="80"/>
      <c r="S13" s="80"/>
      <c r="T13" s="80"/>
      <c r="U13" s="80"/>
      <c r="V13" s="80"/>
      <c r="W13" s="80"/>
      <c r="X13" s="80"/>
      <c r="Y13" s="80"/>
      <c r="Z13" s="80"/>
      <c r="AA13" s="80"/>
    </row>
    <row r="14" spans="1:27" s="84" customFormat="1" ht="15.75">
      <c r="A14" s="745">
        <f>ROW()</f>
        <v>14</v>
      </c>
      <c r="B14" s="82" t="s">
        <v>216</v>
      </c>
      <c r="G14" s="456"/>
      <c r="H14" s="471"/>
      <c r="I14" s="471"/>
      <c r="J14" s="471"/>
      <c r="K14" s="471"/>
      <c r="L14" s="471"/>
      <c r="M14" s="471"/>
      <c r="O14" s="717"/>
      <c r="P14" s="80"/>
      <c r="Q14" s="80"/>
      <c r="R14" s="80"/>
      <c r="S14" s="80"/>
      <c r="T14" s="80"/>
      <c r="U14" s="80"/>
      <c r="V14" s="80"/>
      <c r="W14" s="80"/>
      <c r="X14" s="80"/>
      <c r="Y14" s="80"/>
      <c r="Z14" s="80"/>
      <c r="AA14" s="80"/>
    </row>
    <row r="15" spans="1:27">
      <c r="A15" s="745">
        <f>ROW()</f>
        <v>15</v>
      </c>
      <c r="B15" s="995" t="s">
        <v>217</v>
      </c>
      <c r="C15" s="996"/>
      <c r="D15" s="996"/>
      <c r="E15" s="996"/>
      <c r="F15" s="996"/>
      <c r="G15" s="997"/>
      <c r="H15" s="1248">
        <f t="shared" ref="H15:M15" si="1">COUNTIF(H21:H33,"&gt;0")</f>
        <v>3</v>
      </c>
      <c r="I15" s="1248">
        <f t="shared" si="1"/>
        <v>4</v>
      </c>
      <c r="J15" s="1248">
        <f t="shared" si="1"/>
        <v>5</v>
      </c>
      <c r="K15" s="1248">
        <f t="shared" si="1"/>
        <v>6</v>
      </c>
      <c r="L15" s="1248">
        <f t="shared" si="1"/>
        <v>6</v>
      </c>
      <c r="M15" s="1248">
        <f t="shared" si="1"/>
        <v>6</v>
      </c>
      <c r="O15" s="541"/>
    </row>
    <row r="16" spans="1:27">
      <c r="A16" s="745">
        <f>ROW()</f>
        <v>16</v>
      </c>
      <c r="B16" s="112" t="s">
        <v>252</v>
      </c>
      <c r="C16" s="236"/>
      <c r="D16" s="236"/>
      <c r="E16" s="236"/>
      <c r="F16" s="236"/>
      <c r="G16" s="761"/>
      <c r="H16" s="938">
        <v>20</v>
      </c>
      <c r="I16" s="938">
        <v>20</v>
      </c>
      <c r="J16" s="938">
        <v>20</v>
      </c>
      <c r="K16" s="938">
        <v>20</v>
      </c>
      <c r="L16" s="938">
        <v>20</v>
      </c>
      <c r="M16" s="938">
        <v>20</v>
      </c>
      <c r="O16" s="541"/>
    </row>
    <row r="17" spans="1:15">
      <c r="A17" s="745">
        <f>ROW()</f>
        <v>17</v>
      </c>
      <c r="B17" s="112" t="s">
        <v>253</v>
      </c>
      <c r="C17" s="236"/>
      <c r="D17" s="236"/>
      <c r="E17" s="236"/>
      <c r="F17" s="236"/>
      <c r="G17" s="761"/>
      <c r="H17" s="1249">
        <f>IFERROR(+H34/H16,0)</f>
        <v>9</v>
      </c>
      <c r="I17" s="1249">
        <f t="shared" ref="I17:M17" si="2">IFERROR(+I34/I16,0)</f>
        <v>12</v>
      </c>
      <c r="J17" s="1249">
        <f t="shared" si="2"/>
        <v>15</v>
      </c>
      <c r="K17" s="1249">
        <f t="shared" si="2"/>
        <v>18</v>
      </c>
      <c r="L17" s="1249">
        <f t="shared" si="2"/>
        <v>18</v>
      </c>
      <c r="M17" s="1249">
        <f t="shared" si="2"/>
        <v>18</v>
      </c>
      <c r="O17" s="541"/>
    </row>
    <row r="18" spans="1:15">
      <c r="A18" s="745">
        <f>ROW()</f>
        <v>18</v>
      </c>
      <c r="B18" s="112" t="s">
        <v>254</v>
      </c>
      <c r="C18" s="236"/>
      <c r="D18" s="236"/>
      <c r="E18" s="236"/>
      <c r="F18" s="236"/>
      <c r="G18" s="761"/>
      <c r="H18" s="1250">
        <v>9</v>
      </c>
      <c r="I18" s="1251">
        <v>12</v>
      </c>
      <c r="J18" s="1251">
        <v>15</v>
      </c>
      <c r="K18" s="1251">
        <v>18</v>
      </c>
      <c r="L18" s="1251">
        <v>18</v>
      </c>
      <c r="M18" s="1251">
        <v>18</v>
      </c>
      <c r="O18" s="541"/>
    </row>
    <row r="19" spans="1:15">
      <c r="A19" s="745">
        <f>ROW()</f>
        <v>19</v>
      </c>
      <c r="B19" s="994" t="s">
        <v>255</v>
      </c>
      <c r="C19" s="1018"/>
      <c r="D19" s="1018"/>
      <c r="E19" s="1018"/>
      <c r="F19" s="1018"/>
      <c r="G19" s="1019"/>
      <c r="H19" s="1252">
        <f>IFERROR(H34/H18,0)</f>
        <v>20</v>
      </c>
      <c r="I19" s="1252">
        <f t="shared" ref="I19:M19" si="3">IFERROR(I34/I18,0)</f>
        <v>20</v>
      </c>
      <c r="J19" s="1252">
        <f t="shared" si="3"/>
        <v>20</v>
      </c>
      <c r="K19" s="1252">
        <f t="shared" si="3"/>
        <v>20</v>
      </c>
      <c r="L19" s="1252">
        <f t="shared" si="3"/>
        <v>20</v>
      </c>
      <c r="M19" s="1252">
        <f t="shared" si="3"/>
        <v>20</v>
      </c>
      <c r="O19" s="541"/>
    </row>
    <row r="20" spans="1:15">
      <c r="A20" s="745">
        <f>ROW()</f>
        <v>20</v>
      </c>
      <c r="B20" s="52"/>
      <c r="C20" s="52"/>
      <c r="D20" s="52"/>
      <c r="E20" s="52"/>
      <c r="F20" s="52"/>
      <c r="G20" s="418"/>
      <c r="H20" s="418"/>
      <c r="I20" s="418"/>
      <c r="J20" s="418"/>
      <c r="K20" s="418"/>
      <c r="L20" s="418"/>
      <c r="M20" s="418"/>
      <c r="O20" s="541"/>
    </row>
    <row r="21" spans="1:15">
      <c r="A21" s="745">
        <f>ROW()</f>
        <v>21</v>
      </c>
      <c r="B21" s="238" t="s">
        <v>219</v>
      </c>
      <c r="C21" s="205"/>
      <c r="D21" s="205"/>
      <c r="E21" s="205"/>
      <c r="F21" s="205"/>
      <c r="G21" s="1017"/>
      <c r="H21" s="1253">
        <v>60</v>
      </c>
      <c r="I21" s="1253">
        <v>60</v>
      </c>
      <c r="J21" s="1253">
        <v>60</v>
      </c>
      <c r="K21" s="1253">
        <v>60</v>
      </c>
      <c r="L21" s="1253">
        <v>60</v>
      </c>
      <c r="M21" s="1253">
        <v>60</v>
      </c>
      <c r="O21" s="541"/>
    </row>
    <row r="22" spans="1:15">
      <c r="A22" s="745">
        <f>ROW()</f>
        <v>22</v>
      </c>
      <c r="B22" s="112" t="s">
        <v>220</v>
      </c>
      <c r="C22" s="236"/>
      <c r="D22" s="236"/>
      <c r="E22" s="236"/>
      <c r="F22" s="236"/>
      <c r="G22" s="759"/>
      <c r="H22" s="939">
        <v>60</v>
      </c>
      <c r="I22" s="939">
        <v>60</v>
      </c>
      <c r="J22" s="939">
        <v>60</v>
      </c>
      <c r="K22" s="939">
        <v>60</v>
      </c>
      <c r="L22" s="939">
        <v>60</v>
      </c>
      <c r="M22" s="939">
        <v>60</v>
      </c>
      <c r="O22" s="541"/>
    </row>
    <row r="23" spans="1:15">
      <c r="A23" s="745">
        <f>ROW()</f>
        <v>23</v>
      </c>
      <c r="B23" s="112" t="s">
        <v>221</v>
      </c>
      <c r="C23" s="236"/>
      <c r="D23" s="236"/>
      <c r="E23" s="236"/>
      <c r="F23" s="236"/>
      <c r="G23" s="759"/>
      <c r="H23" s="939">
        <v>60</v>
      </c>
      <c r="I23" s="939">
        <v>60</v>
      </c>
      <c r="J23" s="939">
        <v>60</v>
      </c>
      <c r="K23" s="939">
        <v>60</v>
      </c>
      <c r="L23" s="939">
        <v>60</v>
      </c>
      <c r="M23" s="939">
        <v>60</v>
      </c>
      <c r="O23" s="541"/>
    </row>
    <row r="24" spans="1:15">
      <c r="A24" s="745">
        <f>ROW()</f>
        <v>24</v>
      </c>
      <c r="B24" s="112" t="s">
        <v>222</v>
      </c>
      <c r="C24" s="236"/>
      <c r="D24" s="236"/>
      <c r="E24" s="236"/>
      <c r="F24" s="236"/>
      <c r="G24" s="759"/>
      <c r="H24" s="939"/>
      <c r="I24" s="939">
        <v>60</v>
      </c>
      <c r="J24" s="939">
        <v>60</v>
      </c>
      <c r="K24" s="939">
        <v>60</v>
      </c>
      <c r="L24" s="939">
        <v>60</v>
      </c>
      <c r="M24" s="939">
        <v>60</v>
      </c>
      <c r="O24" s="541"/>
    </row>
    <row r="25" spans="1:15">
      <c r="A25" s="745">
        <f>ROW()</f>
        <v>25</v>
      </c>
      <c r="B25" s="112" t="s">
        <v>223</v>
      </c>
      <c r="C25" s="236"/>
      <c r="D25" s="236"/>
      <c r="E25" s="236"/>
      <c r="F25" s="236"/>
      <c r="G25" s="759"/>
      <c r="H25" s="939"/>
      <c r="I25" s="939"/>
      <c r="J25" s="939">
        <v>60</v>
      </c>
      <c r="K25" s="939">
        <v>60</v>
      </c>
      <c r="L25" s="939">
        <v>60</v>
      </c>
      <c r="M25" s="939">
        <v>60</v>
      </c>
      <c r="O25" s="541"/>
    </row>
    <row r="26" spans="1:15">
      <c r="A26" s="745">
        <f>ROW()</f>
        <v>26</v>
      </c>
      <c r="B26" s="112" t="s">
        <v>224</v>
      </c>
      <c r="C26" s="236"/>
      <c r="D26" s="236"/>
      <c r="E26" s="236"/>
      <c r="F26" s="236"/>
      <c r="G26" s="760"/>
      <c r="H26" s="939">
        <v>0</v>
      </c>
      <c r="I26" s="939">
        <v>0</v>
      </c>
      <c r="J26" s="939">
        <v>0</v>
      </c>
      <c r="K26" s="939">
        <v>60</v>
      </c>
      <c r="L26" s="939">
        <v>60</v>
      </c>
      <c r="M26" s="939">
        <v>60</v>
      </c>
      <c r="O26" s="541"/>
    </row>
    <row r="27" spans="1:15">
      <c r="A27" s="745">
        <f>ROW()</f>
        <v>27</v>
      </c>
      <c r="B27" s="112" t="s">
        <v>225</v>
      </c>
      <c r="C27" s="236"/>
      <c r="D27" s="236"/>
      <c r="E27" s="236"/>
      <c r="F27" s="236"/>
      <c r="G27" s="760"/>
      <c r="H27" s="939">
        <v>0</v>
      </c>
      <c r="I27" s="939">
        <v>0</v>
      </c>
      <c r="J27" s="939">
        <v>0</v>
      </c>
      <c r="K27" s="939">
        <v>0</v>
      </c>
      <c r="L27" s="939">
        <v>0</v>
      </c>
      <c r="M27" s="939">
        <v>0</v>
      </c>
      <c r="O27" s="541"/>
    </row>
    <row r="28" spans="1:15">
      <c r="A28" s="745">
        <f>ROW()</f>
        <v>28</v>
      </c>
      <c r="B28" s="112" t="s">
        <v>226</v>
      </c>
      <c r="C28" s="236"/>
      <c r="D28" s="236"/>
      <c r="E28" s="236"/>
      <c r="F28" s="236"/>
      <c r="G28" s="760"/>
      <c r="H28" s="939">
        <v>0</v>
      </c>
      <c r="I28" s="939">
        <v>0</v>
      </c>
      <c r="J28" s="939">
        <v>0</v>
      </c>
      <c r="K28" s="939">
        <v>0</v>
      </c>
      <c r="L28" s="939">
        <v>0</v>
      </c>
      <c r="M28" s="939">
        <v>0</v>
      </c>
      <c r="O28" s="541"/>
    </row>
    <row r="29" spans="1:15">
      <c r="A29" s="745">
        <f>ROW()</f>
        <v>29</v>
      </c>
      <c r="B29" s="112" t="s">
        <v>227</v>
      </c>
      <c r="C29" s="236"/>
      <c r="D29" s="236"/>
      <c r="E29" s="236"/>
      <c r="F29" s="236"/>
      <c r="G29" s="760"/>
      <c r="H29" s="939">
        <v>0</v>
      </c>
      <c r="I29" s="939">
        <v>0</v>
      </c>
      <c r="J29" s="939">
        <v>0</v>
      </c>
      <c r="K29" s="939">
        <v>0</v>
      </c>
      <c r="L29" s="939">
        <v>0</v>
      </c>
      <c r="M29" s="939">
        <v>0</v>
      </c>
      <c r="O29" s="541"/>
    </row>
    <row r="30" spans="1:15">
      <c r="A30" s="745">
        <f>ROW()</f>
        <v>30</v>
      </c>
      <c r="B30" s="112" t="s">
        <v>228</v>
      </c>
      <c r="C30" s="236"/>
      <c r="D30" s="236"/>
      <c r="E30" s="236"/>
      <c r="F30" s="236"/>
      <c r="G30" s="760"/>
      <c r="H30" s="939">
        <v>0</v>
      </c>
      <c r="I30" s="939">
        <v>0</v>
      </c>
      <c r="J30" s="939">
        <v>0</v>
      </c>
      <c r="K30" s="939">
        <v>0</v>
      </c>
      <c r="L30" s="939">
        <v>0</v>
      </c>
      <c r="M30" s="939">
        <v>0</v>
      </c>
      <c r="O30" s="541"/>
    </row>
    <row r="31" spans="1:15">
      <c r="A31" s="745">
        <f>ROW()</f>
        <v>31</v>
      </c>
      <c r="B31" s="112" t="s">
        <v>229</v>
      </c>
      <c r="C31" s="236"/>
      <c r="D31" s="236"/>
      <c r="E31" s="236"/>
      <c r="F31" s="236"/>
      <c r="G31" s="760"/>
      <c r="H31" s="939">
        <v>0</v>
      </c>
      <c r="I31" s="939">
        <v>0</v>
      </c>
      <c r="J31" s="939">
        <v>0</v>
      </c>
      <c r="K31" s="939">
        <v>0</v>
      </c>
      <c r="L31" s="939">
        <v>0</v>
      </c>
      <c r="M31" s="939">
        <v>0</v>
      </c>
      <c r="O31" s="541"/>
    </row>
    <row r="32" spans="1:15">
      <c r="A32" s="745">
        <f>ROW()</f>
        <v>32</v>
      </c>
      <c r="B32" s="112" t="s">
        <v>230</v>
      </c>
      <c r="C32" s="236"/>
      <c r="D32" s="236"/>
      <c r="E32" s="236"/>
      <c r="F32" s="236"/>
      <c r="G32" s="760"/>
      <c r="H32" s="939">
        <v>0</v>
      </c>
      <c r="I32" s="939">
        <v>0</v>
      </c>
      <c r="J32" s="939">
        <v>0</v>
      </c>
      <c r="K32" s="939">
        <v>0</v>
      </c>
      <c r="L32" s="939">
        <v>0</v>
      </c>
      <c r="M32" s="939">
        <v>0</v>
      </c>
      <c r="O32" s="541"/>
    </row>
    <row r="33" spans="1:15">
      <c r="A33" s="745">
        <f>ROW()</f>
        <v>33</v>
      </c>
      <c r="B33" s="112" t="s">
        <v>231</v>
      </c>
      <c r="G33" s="1257"/>
      <c r="H33" s="940">
        <v>0</v>
      </c>
      <c r="I33" s="940">
        <v>0</v>
      </c>
      <c r="J33" s="940">
        <v>0</v>
      </c>
      <c r="K33" s="940">
        <v>0</v>
      </c>
      <c r="L33" s="940">
        <v>0</v>
      </c>
      <c r="M33" s="940">
        <v>0</v>
      </c>
      <c r="O33" s="541"/>
    </row>
    <row r="34" spans="1:15">
      <c r="A34" s="745">
        <f>ROW()</f>
        <v>34</v>
      </c>
      <c r="B34" s="279" t="s">
        <v>232</v>
      </c>
      <c r="C34" s="205"/>
      <c r="D34" s="205"/>
      <c r="E34" s="205"/>
      <c r="F34" s="205"/>
      <c r="G34" s="206"/>
      <c r="H34" s="1835">
        <f t="shared" ref="H34:M34" si="4">SUM(H21:H33)</f>
        <v>180</v>
      </c>
      <c r="I34" s="1835">
        <f t="shared" si="4"/>
        <v>240</v>
      </c>
      <c r="J34" s="1835">
        <f t="shared" si="4"/>
        <v>300</v>
      </c>
      <c r="K34" s="1835">
        <f t="shared" si="4"/>
        <v>360</v>
      </c>
      <c r="L34" s="1835">
        <f t="shared" si="4"/>
        <v>360</v>
      </c>
      <c r="M34" s="1835">
        <f t="shared" si="4"/>
        <v>360</v>
      </c>
      <c r="O34" s="541"/>
    </row>
    <row r="35" spans="1:15">
      <c r="A35" s="745">
        <f>ROW()</f>
        <v>35</v>
      </c>
      <c r="H35" s="80"/>
      <c r="I35" s="80"/>
      <c r="J35" s="80"/>
      <c r="O35" s="541"/>
    </row>
    <row r="36" spans="1:15">
      <c r="A36" s="745">
        <f>ROW()</f>
        <v>36</v>
      </c>
      <c r="B36" s="202" t="s">
        <v>256</v>
      </c>
      <c r="G36" s="763"/>
      <c r="H36" s="1254">
        <v>0.9</v>
      </c>
      <c r="I36" s="1254">
        <v>0.9</v>
      </c>
      <c r="J36" s="1254">
        <v>0.9</v>
      </c>
      <c r="K36" s="1254">
        <v>0.9</v>
      </c>
      <c r="L36" s="1254">
        <v>0.9</v>
      </c>
      <c r="M36" s="1254">
        <v>0.9</v>
      </c>
      <c r="O36" s="541"/>
    </row>
    <row r="37" spans="1:15">
      <c r="A37" s="745">
        <f>ROW()</f>
        <v>37</v>
      </c>
      <c r="B37" s="202" t="s">
        <v>257</v>
      </c>
      <c r="G37" s="117"/>
      <c r="H37" s="1255">
        <f t="shared" ref="H37:M37" si="5">+H34*(1-H36)</f>
        <v>17.999999999999996</v>
      </c>
      <c r="I37" s="1255">
        <f t="shared" si="5"/>
        <v>23.999999999999993</v>
      </c>
      <c r="J37" s="1255">
        <f t="shared" si="5"/>
        <v>29.999999999999993</v>
      </c>
      <c r="K37" s="1255">
        <f t="shared" si="5"/>
        <v>35.999999999999993</v>
      </c>
      <c r="L37" s="1255">
        <f t="shared" si="5"/>
        <v>35.999999999999993</v>
      </c>
      <c r="M37" s="1255">
        <f t="shared" si="5"/>
        <v>35.999999999999993</v>
      </c>
      <c r="O37" s="541"/>
    </row>
    <row r="38" spans="1:15">
      <c r="A38" s="745">
        <f>ROW()</f>
        <v>38</v>
      </c>
      <c r="B38" s="202"/>
      <c r="G38" s="117"/>
      <c r="H38" s="1255"/>
      <c r="I38" s="1255"/>
      <c r="J38" s="1255"/>
      <c r="K38" s="1255"/>
      <c r="L38" s="1255"/>
      <c r="M38" s="1255"/>
      <c r="O38" s="541"/>
    </row>
    <row r="39" spans="1:15">
      <c r="A39" s="745">
        <f>ROW()</f>
        <v>39</v>
      </c>
      <c r="B39" s="1796" t="s">
        <v>216</v>
      </c>
      <c r="C39" s="1761"/>
      <c r="D39" s="1761" t="s">
        <v>258</v>
      </c>
      <c r="E39" s="1797"/>
      <c r="F39" s="1797" t="s">
        <v>259</v>
      </c>
      <c r="G39" s="487"/>
      <c r="H39" s="1798"/>
      <c r="I39" s="1799"/>
      <c r="J39" s="1799"/>
      <c r="K39" s="1799"/>
      <c r="L39" s="1799"/>
      <c r="M39" s="1799"/>
      <c r="O39" s="541"/>
    </row>
    <row r="40" spans="1:15">
      <c r="A40" s="745">
        <f>ROW()</f>
        <v>40</v>
      </c>
      <c r="B40" s="487"/>
      <c r="C40" s="1797"/>
      <c r="D40" s="1761" t="s">
        <v>260</v>
      </c>
      <c r="E40" s="1761" t="s">
        <v>261</v>
      </c>
      <c r="F40" s="1761" t="s">
        <v>258</v>
      </c>
      <c r="G40" s="487"/>
      <c r="H40" s="487"/>
      <c r="I40" s="487"/>
      <c r="J40" s="487"/>
      <c r="K40" s="487"/>
      <c r="L40" s="487"/>
      <c r="M40" s="487"/>
      <c r="O40" s="541"/>
    </row>
    <row r="41" spans="1:15">
      <c r="A41" s="745">
        <f>ROW()</f>
        <v>41</v>
      </c>
      <c r="B41" s="487"/>
      <c r="C41" s="1761" t="s">
        <v>262</v>
      </c>
      <c r="D41" s="1761" t="s">
        <v>263</v>
      </c>
      <c r="E41" s="1761" t="s">
        <v>264</v>
      </c>
      <c r="F41" s="1761" t="s">
        <v>265</v>
      </c>
      <c r="G41" s="487"/>
      <c r="H41" s="487"/>
      <c r="I41" s="487"/>
      <c r="J41" s="487"/>
      <c r="K41" s="487"/>
      <c r="L41" s="487"/>
      <c r="M41" s="487"/>
      <c r="O41" s="541"/>
    </row>
    <row r="42" spans="1:15">
      <c r="A42" s="745">
        <f>ROW()</f>
        <v>42</v>
      </c>
      <c r="B42" s="1769" t="s">
        <v>266</v>
      </c>
      <c r="C42" s="1768"/>
      <c r="D42" s="1769"/>
      <c r="E42" s="1770"/>
      <c r="F42" s="1770"/>
      <c r="G42" s="1771"/>
      <c r="H42" s="1771"/>
      <c r="I42" s="1771"/>
      <c r="J42" s="1771"/>
      <c r="K42" s="1771"/>
      <c r="L42" s="1771"/>
      <c r="M42" s="1771"/>
      <c r="O42" s="541"/>
    </row>
    <row r="43" spans="1:15">
      <c r="A43" s="745">
        <f>ROW()</f>
        <v>43</v>
      </c>
      <c r="B43" s="1800" t="s">
        <v>267</v>
      </c>
      <c r="C43" s="1762">
        <v>0.33</v>
      </c>
      <c r="D43" s="1765">
        <v>0.12</v>
      </c>
      <c r="E43" s="1795">
        <v>0</v>
      </c>
      <c r="F43" s="1765">
        <f>D43*(1-E43)</f>
        <v>0.12</v>
      </c>
      <c r="G43" s="1735"/>
      <c r="H43" s="1736">
        <f>+$F43*H$34</f>
        <v>21.599999999999998</v>
      </c>
      <c r="I43" s="1736">
        <f t="shared" ref="I43:M46" si="6">+$F43*I$34</f>
        <v>28.799999999999997</v>
      </c>
      <c r="J43" s="1736">
        <f t="shared" si="6"/>
        <v>36</v>
      </c>
      <c r="K43" s="1736">
        <f t="shared" si="6"/>
        <v>43.199999999999996</v>
      </c>
      <c r="L43" s="1736">
        <f t="shared" si="6"/>
        <v>43.199999999999996</v>
      </c>
      <c r="M43" s="1736">
        <f t="shared" si="6"/>
        <v>43.199999999999996</v>
      </c>
      <c r="O43" s="541"/>
    </row>
    <row r="44" spans="1:15">
      <c r="A44" s="745">
        <f>ROW()</f>
        <v>44</v>
      </c>
      <c r="B44" s="1801" t="s">
        <v>268</v>
      </c>
      <c r="C44" s="1763">
        <v>0.23</v>
      </c>
      <c r="D44" s="1765">
        <v>0.4</v>
      </c>
      <c r="E44" s="1764">
        <v>0.1</v>
      </c>
      <c r="F44" s="1765">
        <f t="shared" ref="F44:F47" si="7">D44*(1-E44)</f>
        <v>0.36000000000000004</v>
      </c>
      <c r="G44" s="1759"/>
      <c r="H44" s="1760">
        <f t="shared" ref="H44:H46" si="8">+$F44*H$34</f>
        <v>64.800000000000011</v>
      </c>
      <c r="I44" s="1760">
        <f t="shared" si="6"/>
        <v>86.4</v>
      </c>
      <c r="J44" s="1760">
        <f t="shared" si="6"/>
        <v>108.00000000000001</v>
      </c>
      <c r="K44" s="1760">
        <f t="shared" si="6"/>
        <v>129.60000000000002</v>
      </c>
      <c r="L44" s="1760">
        <f t="shared" si="6"/>
        <v>129.60000000000002</v>
      </c>
      <c r="M44" s="1760">
        <f t="shared" si="6"/>
        <v>129.60000000000002</v>
      </c>
      <c r="O44" s="541"/>
    </row>
    <row r="45" spans="1:15">
      <c r="A45" s="745">
        <f>ROW()</f>
        <v>45</v>
      </c>
      <c r="B45" s="1801" t="s">
        <v>269</v>
      </c>
      <c r="C45" s="1763">
        <v>0.12</v>
      </c>
      <c r="D45" s="1765">
        <v>0</v>
      </c>
      <c r="E45" s="1764">
        <v>0</v>
      </c>
      <c r="F45" s="1765">
        <f t="shared" si="7"/>
        <v>0</v>
      </c>
      <c r="G45" s="1737"/>
      <c r="H45" s="1736">
        <f t="shared" si="8"/>
        <v>0</v>
      </c>
      <c r="I45" s="1736">
        <f t="shared" si="6"/>
        <v>0</v>
      </c>
      <c r="J45" s="1736">
        <f t="shared" si="6"/>
        <v>0</v>
      </c>
      <c r="K45" s="1736">
        <f t="shared" si="6"/>
        <v>0</v>
      </c>
      <c r="L45" s="1736">
        <f t="shared" si="6"/>
        <v>0</v>
      </c>
      <c r="M45" s="1736">
        <f t="shared" si="6"/>
        <v>0</v>
      </c>
      <c r="O45" s="541"/>
    </row>
    <row r="46" spans="1:15">
      <c r="A46" s="745">
        <f>ROW()</f>
        <v>46</v>
      </c>
      <c r="B46" s="1801" t="s">
        <v>270</v>
      </c>
      <c r="C46" s="1763">
        <v>0.03</v>
      </c>
      <c r="D46" s="1765">
        <v>0.9</v>
      </c>
      <c r="E46" s="1764">
        <v>0.42199999999999999</v>
      </c>
      <c r="F46" s="1765">
        <f t="shared" si="7"/>
        <v>0.52020000000000011</v>
      </c>
      <c r="G46" s="1737"/>
      <c r="H46" s="1760">
        <f t="shared" si="8"/>
        <v>93.636000000000024</v>
      </c>
      <c r="I46" s="1760">
        <f t="shared" si="6"/>
        <v>124.84800000000003</v>
      </c>
      <c r="J46" s="1760">
        <f t="shared" si="6"/>
        <v>156.06000000000003</v>
      </c>
      <c r="K46" s="1760">
        <f t="shared" si="6"/>
        <v>187.27200000000005</v>
      </c>
      <c r="L46" s="1760">
        <f t="shared" si="6"/>
        <v>187.27200000000005</v>
      </c>
      <c r="M46" s="1760">
        <f t="shared" si="6"/>
        <v>187.27200000000005</v>
      </c>
      <c r="O46" s="541"/>
    </row>
    <row r="47" spans="1:15">
      <c r="A47" s="745">
        <f>ROW()</f>
        <v>47</v>
      </c>
      <c r="B47" s="1802" t="s">
        <v>271</v>
      </c>
      <c r="C47" s="1772">
        <v>0</v>
      </c>
      <c r="D47" s="1767">
        <f>1-SUM(D43:D46)</f>
        <v>-0.41999999999999993</v>
      </c>
      <c r="E47" s="1766">
        <v>0</v>
      </c>
      <c r="F47" s="1767">
        <f t="shared" si="7"/>
        <v>-0.41999999999999993</v>
      </c>
      <c r="G47" s="1750"/>
      <c r="H47" s="1738">
        <f t="shared" ref="H47:M47" si="9">H34-SUM(H43:H46)</f>
        <v>-3.6000000000029786E-2</v>
      </c>
      <c r="I47" s="1738">
        <f t="shared" si="9"/>
        <v>-4.8000000000030241E-2</v>
      </c>
      <c r="J47" s="1738">
        <f t="shared" si="9"/>
        <v>-6.0000000000059117E-2</v>
      </c>
      <c r="K47" s="1738">
        <f t="shared" si="9"/>
        <v>-7.2000000000059572E-2</v>
      </c>
      <c r="L47" s="1738">
        <f t="shared" si="9"/>
        <v>-7.2000000000059572E-2</v>
      </c>
      <c r="M47" s="1738">
        <f t="shared" si="9"/>
        <v>-7.2000000000059572E-2</v>
      </c>
      <c r="O47" s="541"/>
    </row>
    <row r="48" spans="1:15">
      <c r="A48" s="745">
        <f>ROW()</f>
        <v>48</v>
      </c>
      <c r="B48" s="1803" t="s">
        <v>272</v>
      </c>
      <c r="C48" s="487"/>
      <c r="D48" s="1804"/>
      <c r="E48" s="1804"/>
      <c r="F48" s="1804"/>
      <c r="G48" s="1805"/>
      <c r="H48" s="1806">
        <f>SUM(H43:H47)</f>
        <v>180</v>
      </c>
      <c r="I48" s="1806">
        <f t="shared" ref="I48:M48" si="10">SUM(I43:I47)</f>
        <v>240</v>
      </c>
      <c r="J48" s="1806">
        <f t="shared" si="10"/>
        <v>300</v>
      </c>
      <c r="K48" s="1806">
        <f t="shared" si="10"/>
        <v>360</v>
      </c>
      <c r="L48" s="1806">
        <f t="shared" si="10"/>
        <v>360</v>
      </c>
      <c r="M48" s="1806">
        <f t="shared" si="10"/>
        <v>360</v>
      </c>
      <c r="O48" s="541"/>
    </row>
    <row r="49" spans="1:15">
      <c r="A49" s="745">
        <f>ROW()</f>
        <v>49</v>
      </c>
      <c r="B49" s="1803" t="s">
        <v>273</v>
      </c>
      <c r="C49" s="487"/>
      <c r="D49" s="1807"/>
      <c r="E49" s="1807"/>
      <c r="F49" s="1807"/>
      <c r="G49" s="1808"/>
      <c r="H49" s="1809" t="str">
        <f>IF(H48=H34,"Ck ok", "Error")</f>
        <v>Ck ok</v>
      </c>
      <c r="I49" s="1809" t="str">
        <f t="shared" ref="I49:M49" si="11">IF(I48=I34,"Ck ok", "Error")</f>
        <v>Ck ok</v>
      </c>
      <c r="J49" s="1809" t="str">
        <f t="shared" si="11"/>
        <v>Ck ok</v>
      </c>
      <c r="K49" s="1809" t="str">
        <f t="shared" si="11"/>
        <v>Ck ok</v>
      </c>
      <c r="L49" s="1809" t="str">
        <f t="shared" si="11"/>
        <v>Ck ok</v>
      </c>
      <c r="M49" s="1809" t="str">
        <f t="shared" si="11"/>
        <v>Ck ok</v>
      </c>
      <c r="O49" s="541"/>
    </row>
    <row r="50" spans="1:15" ht="15.75" thickBot="1">
      <c r="A50" s="745">
        <f>ROW()</f>
        <v>50</v>
      </c>
      <c r="B50" s="487"/>
      <c r="C50" s="487"/>
      <c r="D50" s="1807"/>
      <c r="E50" s="1807"/>
      <c r="F50" s="1807"/>
      <c r="G50" s="1808"/>
      <c r="H50" s="1810"/>
      <c r="I50" s="1810"/>
      <c r="J50" s="1810"/>
      <c r="K50" s="1810"/>
      <c r="L50" s="1810"/>
      <c r="M50" s="1810"/>
      <c r="O50" s="541"/>
    </row>
    <row r="51" spans="1:15" ht="15.75" thickBot="1">
      <c r="A51" s="745">
        <f>ROW()</f>
        <v>51</v>
      </c>
      <c r="B51" s="487" t="s">
        <v>274</v>
      </c>
      <c r="C51" s="1811" t="s">
        <v>1095</v>
      </c>
      <c r="D51" s="487" t="s">
        <v>276</v>
      </c>
      <c r="E51" s="487"/>
      <c r="F51" s="487"/>
      <c r="G51" s="487"/>
      <c r="H51" s="487"/>
      <c r="I51" s="487"/>
      <c r="J51" s="487"/>
      <c r="K51" s="487"/>
      <c r="L51" s="487"/>
      <c r="M51" s="487"/>
      <c r="O51" s="541"/>
    </row>
    <row r="52" spans="1:15">
      <c r="A52" s="745">
        <f>ROW()</f>
        <v>52</v>
      </c>
      <c r="B52" s="487" t="s">
        <v>277</v>
      </c>
      <c r="C52" s="487"/>
      <c r="D52" s="487"/>
      <c r="E52" s="487"/>
      <c r="F52" s="487"/>
      <c r="G52" s="1751"/>
      <c r="H52" s="1752"/>
      <c r="I52" s="1752"/>
      <c r="J52" s="1752"/>
      <c r="K52" s="1752"/>
      <c r="L52" s="1752"/>
      <c r="M52" s="1752"/>
      <c r="O52" s="541"/>
    </row>
    <row r="53" spans="1:15">
      <c r="A53" s="745">
        <f>ROW()</f>
        <v>53</v>
      </c>
      <c r="B53" s="487" t="str">
        <f>+B42</f>
        <v>Local SPED</v>
      </c>
      <c r="C53" s="487"/>
      <c r="D53" s="487"/>
      <c r="E53" s="487"/>
      <c r="F53" s="487"/>
      <c r="G53" s="1751"/>
      <c r="H53" s="1734"/>
      <c r="I53" s="1734"/>
      <c r="J53" s="1734"/>
      <c r="K53" s="1734"/>
      <c r="L53" s="1734"/>
      <c r="M53" s="1734"/>
      <c r="O53" s="541" t="s">
        <v>1325</v>
      </c>
    </row>
    <row r="54" spans="1:15">
      <c r="A54" s="745">
        <f>ROW()</f>
        <v>54</v>
      </c>
      <c r="B54" s="1161" t="str">
        <f t="shared" ref="B54:C57" si="12">+B43</f>
        <v>State Special Education (SPED) (placeholder %)</v>
      </c>
      <c r="C54" s="1773">
        <f>+C43</f>
        <v>0.33</v>
      </c>
      <c r="F54" s="1742">
        <f>+$C$58*C54</f>
        <v>2390.0838389999999</v>
      </c>
      <c r="G54" s="1756"/>
      <c r="H54" s="1757">
        <f>+G43*$F54</f>
        <v>0</v>
      </c>
      <c r="I54" s="1757">
        <f>+H43*$F54</f>
        <v>51625.810922399993</v>
      </c>
      <c r="J54" s="1757">
        <f t="shared" ref="J54:M54" si="13">+I43*$F54</f>
        <v>68834.414563199985</v>
      </c>
      <c r="K54" s="1757">
        <f t="shared" si="13"/>
        <v>86043.018203999993</v>
      </c>
      <c r="L54" s="1757">
        <f t="shared" si="13"/>
        <v>103251.62184479999</v>
      </c>
      <c r="M54" s="1757">
        <f t="shared" si="13"/>
        <v>103251.62184479999</v>
      </c>
      <c r="O54" s="541"/>
    </row>
    <row r="55" spans="1:15">
      <c r="A55" s="745">
        <f>ROW()</f>
        <v>55</v>
      </c>
      <c r="B55" s="80" t="str">
        <f t="shared" si="12"/>
        <v>English Language Learners (ELL)</v>
      </c>
      <c r="C55" s="1740">
        <f t="shared" si="12"/>
        <v>0.23</v>
      </c>
      <c r="F55" s="1741">
        <f>+$C$58*C55</f>
        <v>1665.8160089999999</v>
      </c>
      <c r="G55" s="1751"/>
      <c r="H55" s="1758">
        <f t="shared" ref="H55" si="14">+G44*$F55</f>
        <v>0</v>
      </c>
      <c r="I55" s="1758">
        <f t="shared" ref="I55:M55" si="15">+H44*$F55</f>
        <v>107944.87738320002</v>
      </c>
      <c r="J55" s="1758">
        <f t="shared" si="15"/>
        <v>143926.50317760001</v>
      </c>
      <c r="K55" s="1758">
        <f t="shared" si="15"/>
        <v>179908.12897200001</v>
      </c>
      <c r="L55" s="1758">
        <f t="shared" si="15"/>
        <v>215889.75476640003</v>
      </c>
      <c r="M55" s="1758">
        <f t="shared" si="15"/>
        <v>215889.75476640003</v>
      </c>
      <c r="O55" s="541"/>
    </row>
    <row r="56" spans="1:15">
      <c r="A56" s="745">
        <f>ROW()</f>
        <v>56</v>
      </c>
      <c r="B56" s="80" t="str">
        <f t="shared" si="12"/>
        <v>Gifted &amp; Talented (GATE)</v>
      </c>
      <c r="C56" s="1740">
        <f t="shared" si="12"/>
        <v>0.12</v>
      </c>
      <c r="F56" s="1741">
        <f t="shared" ref="F56:F57" si="16">+$C$58*C56</f>
        <v>869.12139599999989</v>
      </c>
      <c r="G56" s="1751"/>
      <c r="H56" s="1758">
        <f t="shared" ref="H56" si="17">+G45*$F56</f>
        <v>0</v>
      </c>
      <c r="I56" s="1758">
        <f t="shared" ref="I56:M56" si="18">+H45*$F56</f>
        <v>0</v>
      </c>
      <c r="J56" s="1758">
        <f t="shared" si="18"/>
        <v>0</v>
      </c>
      <c r="K56" s="1758">
        <f t="shared" si="18"/>
        <v>0</v>
      </c>
      <c r="L56" s="1758">
        <f t="shared" si="18"/>
        <v>0</v>
      </c>
      <c r="M56" s="1758">
        <f t="shared" si="18"/>
        <v>0</v>
      </c>
      <c r="O56" s="541"/>
    </row>
    <row r="57" spans="1:15">
      <c r="A57" s="745">
        <f>ROW()</f>
        <v>57</v>
      </c>
      <c r="B57" s="80" t="str">
        <f t="shared" si="12"/>
        <v>At Risk (AR, fka FRL)</v>
      </c>
      <c r="C57" s="1740">
        <f t="shared" si="12"/>
        <v>0.03</v>
      </c>
      <c r="F57" s="1741">
        <f t="shared" si="16"/>
        <v>217.28034899999997</v>
      </c>
      <c r="G57" s="1751"/>
      <c r="H57" s="1758">
        <f t="shared" ref="H57" si="19">+G46*$F57</f>
        <v>0</v>
      </c>
      <c r="I57" s="1758">
        <f t="shared" ref="I57:M57" si="20">+H46*$F57</f>
        <v>20345.262758964003</v>
      </c>
      <c r="J57" s="1758">
        <f t="shared" si="20"/>
        <v>27127.017011952001</v>
      </c>
      <c r="K57" s="1758">
        <f t="shared" si="20"/>
        <v>33908.771264940005</v>
      </c>
      <c r="L57" s="1758">
        <f t="shared" si="20"/>
        <v>40690.525517928007</v>
      </c>
      <c r="M57" s="1758">
        <f t="shared" si="20"/>
        <v>40690.525517928007</v>
      </c>
      <c r="O57" s="541"/>
    </row>
    <row r="58" spans="1:15">
      <c r="A58" s="745">
        <f>ROW()</f>
        <v>58</v>
      </c>
      <c r="B58" s="80" t="s">
        <v>278</v>
      </c>
      <c r="C58" s="1749">
        <f>_xlfn.XLOOKUP(C51,'PCFP Rates'!B84:B90,'PCFP Rates'!D105:D111)</f>
        <v>7242.6782999999996</v>
      </c>
      <c r="F58" s="212">
        <f>+C58</f>
        <v>7242.6782999999996</v>
      </c>
      <c r="H58" s="1758">
        <f t="shared" ref="H58" si="21">+H48*$F58</f>
        <v>1303682.094</v>
      </c>
      <c r="I58" s="1758">
        <f t="shared" ref="I58:M58" si="22">+I48*$F58</f>
        <v>1738242.7919999999</v>
      </c>
      <c r="J58" s="1758">
        <f t="shared" si="22"/>
        <v>2172803.4899999998</v>
      </c>
      <c r="K58" s="1758">
        <f t="shared" si="22"/>
        <v>2607364.1880000001</v>
      </c>
      <c r="L58" s="1758">
        <f t="shared" si="22"/>
        <v>2607364.1880000001</v>
      </c>
      <c r="M58" s="1758">
        <f t="shared" si="22"/>
        <v>2607364.1880000001</v>
      </c>
      <c r="O58" s="541"/>
    </row>
    <row r="59" spans="1:15">
      <c r="A59" s="745">
        <f>ROW()</f>
        <v>59</v>
      </c>
      <c r="B59" s="150"/>
      <c r="C59" s="1755"/>
      <c r="D59" s="1755"/>
      <c r="E59" s="1755"/>
      <c r="F59" s="1755"/>
      <c r="H59" s="1782"/>
      <c r="I59" s="1782"/>
      <c r="J59" s="1782"/>
      <c r="K59" s="1782"/>
      <c r="L59" s="1782"/>
      <c r="M59" s="1782"/>
      <c r="O59" s="541"/>
    </row>
    <row r="60" spans="1:15">
      <c r="A60" s="745">
        <f>ROW()</f>
        <v>60</v>
      </c>
      <c r="B60" s="202" t="s">
        <v>279</v>
      </c>
      <c r="C60" s="1733"/>
      <c r="D60" s="1733"/>
      <c r="E60" s="1733"/>
      <c r="F60" s="1733"/>
      <c r="G60" s="117"/>
      <c r="H60" s="116"/>
      <c r="I60" s="116"/>
      <c r="J60" s="116"/>
      <c r="K60" s="116"/>
      <c r="L60" s="116"/>
      <c r="M60" s="116"/>
      <c r="O60" s="541"/>
    </row>
    <row r="61" spans="1:15">
      <c r="A61" s="745">
        <f>ROW()</f>
        <v>61</v>
      </c>
      <c r="B61" s="112" t="s">
        <v>280</v>
      </c>
      <c r="C61" s="236"/>
      <c r="D61" s="236"/>
      <c r="E61" s="236"/>
      <c r="F61" s="236"/>
      <c r="G61" s="1777"/>
      <c r="H61" s="1778">
        <f>+F46</f>
        <v>0.52020000000000011</v>
      </c>
      <c r="I61" s="1778">
        <f>+H61</f>
        <v>0.52020000000000011</v>
      </c>
      <c r="J61" s="1778">
        <f t="shared" ref="J61:M61" si="23">+I61</f>
        <v>0.52020000000000011</v>
      </c>
      <c r="K61" s="1778">
        <f t="shared" si="23"/>
        <v>0.52020000000000011</v>
      </c>
      <c r="L61" s="1778">
        <f t="shared" si="23"/>
        <v>0.52020000000000011</v>
      </c>
      <c r="M61" s="1778">
        <f t="shared" si="23"/>
        <v>0.52020000000000011</v>
      </c>
      <c r="O61" s="541"/>
    </row>
    <row r="62" spans="1:15">
      <c r="A62" s="745">
        <f>ROW()</f>
        <v>62</v>
      </c>
      <c r="B62" s="112" t="s">
        <v>281</v>
      </c>
      <c r="C62" s="236"/>
      <c r="D62" s="236"/>
      <c r="E62" s="236"/>
      <c r="F62" s="236"/>
      <c r="G62" s="1777"/>
      <c r="H62" s="1778">
        <f>+F44</f>
        <v>0.36000000000000004</v>
      </c>
      <c r="I62" s="1778">
        <f t="shared" ref="I62:M62" si="24">+H62</f>
        <v>0.36000000000000004</v>
      </c>
      <c r="J62" s="1778">
        <f t="shared" si="24"/>
        <v>0.36000000000000004</v>
      </c>
      <c r="K62" s="1778">
        <f t="shared" si="24"/>
        <v>0.36000000000000004</v>
      </c>
      <c r="L62" s="1778">
        <f t="shared" si="24"/>
        <v>0.36000000000000004</v>
      </c>
      <c r="M62" s="1778">
        <f t="shared" si="24"/>
        <v>0.36000000000000004</v>
      </c>
      <c r="O62" s="541"/>
    </row>
    <row r="63" spans="1:15">
      <c r="A63" s="745">
        <f>ROW()</f>
        <v>63</v>
      </c>
      <c r="B63" s="112" t="s">
        <v>282</v>
      </c>
      <c r="C63" s="236"/>
      <c r="D63" s="236"/>
      <c r="E63" s="236"/>
      <c r="F63" s="236"/>
      <c r="G63" s="1777"/>
      <c r="H63" s="1778">
        <f>+F43</f>
        <v>0.12</v>
      </c>
      <c r="I63" s="1778">
        <f t="shared" ref="I63:M63" si="25">+H63</f>
        <v>0.12</v>
      </c>
      <c r="J63" s="1778">
        <f t="shared" si="25"/>
        <v>0.12</v>
      </c>
      <c r="K63" s="1778">
        <f t="shared" si="25"/>
        <v>0.12</v>
      </c>
      <c r="L63" s="1778">
        <f t="shared" si="25"/>
        <v>0.12</v>
      </c>
      <c r="M63" s="1778">
        <f t="shared" si="25"/>
        <v>0.12</v>
      </c>
      <c r="O63" s="541"/>
    </row>
    <row r="64" spans="1:15">
      <c r="A64" s="745">
        <f>ROW()</f>
        <v>64</v>
      </c>
      <c r="B64" s="112" t="s">
        <v>283</v>
      </c>
      <c r="C64" s="236"/>
      <c r="D64" s="236"/>
      <c r="E64" s="236"/>
      <c r="F64" s="236"/>
      <c r="G64" s="764"/>
      <c r="H64" s="1256">
        <f t="shared" ref="H64:M64" si="26">+H$34*H63</f>
        <v>21.599999999999998</v>
      </c>
      <c r="I64" s="1256">
        <f t="shared" si="26"/>
        <v>28.799999999999997</v>
      </c>
      <c r="J64" s="1256">
        <f t="shared" si="26"/>
        <v>36</v>
      </c>
      <c r="K64" s="1256">
        <f t="shared" si="26"/>
        <v>43.199999999999996</v>
      </c>
      <c r="L64" s="1256">
        <f t="shared" si="26"/>
        <v>43.199999999999996</v>
      </c>
      <c r="M64" s="1256">
        <f t="shared" si="26"/>
        <v>43.199999999999996</v>
      </c>
      <c r="O64" s="541"/>
    </row>
    <row r="65" spans="1:15" hidden="1" outlineLevel="1">
      <c r="A65" s="745">
        <f>ROW()</f>
        <v>65</v>
      </c>
      <c r="B65" s="108"/>
      <c r="C65" s="108"/>
      <c r="D65" s="108"/>
      <c r="E65" s="108"/>
      <c r="F65" s="108"/>
      <c r="G65" s="108"/>
      <c r="H65" s="108"/>
      <c r="I65" s="106"/>
      <c r="J65" s="106"/>
      <c r="K65" s="119"/>
      <c r="L65" s="207"/>
      <c r="M65" s="119"/>
      <c r="N65" s="119"/>
      <c r="O65" s="541"/>
    </row>
    <row r="66" spans="1:15" ht="30" hidden="1" outlineLevel="1">
      <c r="A66" s="745">
        <f>ROW()</f>
        <v>66</v>
      </c>
      <c r="B66" s="1496" t="s">
        <v>284</v>
      </c>
      <c r="C66" s="1497">
        <f>IFERROR(VLOOKUP(C79,'PCFP Rates'!O14:AB42,4,FALSE),0)</f>
        <v>0</v>
      </c>
      <c r="D66" s="1498" t="s">
        <v>285</v>
      </c>
      <c r="E66" s="1498"/>
      <c r="F66" s="1498"/>
      <c r="G66" s="100"/>
      <c r="H66" s="111"/>
      <c r="I66" s="111"/>
      <c r="J66" s="111"/>
      <c r="K66" s="1499"/>
      <c r="L66" s="1499"/>
      <c r="M66" s="1499"/>
      <c r="N66" s="152"/>
      <c r="O66" s="541"/>
    </row>
    <row r="67" spans="1:15" collapsed="1">
      <c r="A67" s="745">
        <f>ROW()</f>
        <v>67</v>
      </c>
      <c r="B67" s="108" t="s">
        <v>286</v>
      </c>
      <c r="C67" s="1495">
        <v>0.01</v>
      </c>
      <c r="D67" s="52" t="s">
        <v>1233</v>
      </c>
      <c r="E67" s="52"/>
      <c r="F67" s="52"/>
      <c r="I67" s="106"/>
      <c r="J67" s="106"/>
      <c r="K67" s="108"/>
      <c r="L67" s="108"/>
      <c r="M67" s="108"/>
      <c r="N67" s="108"/>
      <c r="O67" s="541"/>
    </row>
    <row r="68" spans="1:15">
      <c r="A68" s="745">
        <f>ROW()</f>
        <v>68</v>
      </c>
      <c r="B68" s="1776" t="s">
        <v>287</v>
      </c>
      <c r="C68" s="1812"/>
      <c r="D68" s="459" t="s">
        <v>288</v>
      </c>
      <c r="E68" s="459"/>
      <c r="F68" s="459"/>
      <c r="I68" s="153"/>
      <c r="J68" s="153"/>
      <c r="K68" s="108"/>
      <c r="L68" s="108"/>
      <c r="M68" s="108"/>
      <c r="N68" s="108"/>
      <c r="O68" s="541"/>
    </row>
    <row r="69" spans="1:15">
      <c r="A69" s="745">
        <f>ROW()</f>
        <v>69</v>
      </c>
      <c r="B69" s="108" t="s">
        <v>1234</v>
      </c>
      <c r="C69" s="1215">
        <v>1.2500000000000001E-2</v>
      </c>
      <c r="D69" s="421"/>
      <c r="E69" s="421"/>
      <c r="F69" s="421"/>
      <c r="I69" s="87"/>
      <c r="J69" s="87"/>
      <c r="K69" s="154"/>
      <c r="L69" s="154"/>
      <c r="M69" s="154"/>
      <c r="N69" s="154"/>
      <c r="O69" s="541"/>
    </row>
    <row r="70" spans="1:15">
      <c r="A70" s="745">
        <f>ROW()</f>
        <v>70</v>
      </c>
      <c r="B70" s="108" t="s">
        <v>289</v>
      </c>
      <c r="C70" s="1491">
        <v>558</v>
      </c>
      <c r="D70" s="459" t="s">
        <v>290</v>
      </c>
      <c r="E70" s="459"/>
      <c r="F70" s="459"/>
      <c r="I70" s="153"/>
      <c r="J70" s="153"/>
      <c r="K70" s="119"/>
      <c r="L70" s="119"/>
      <c r="M70" s="119"/>
      <c r="N70" s="119"/>
      <c r="O70" s="541" t="s">
        <v>1284</v>
      </c>
    </row>
    <row r="71" spans="1:15">
      <c r="A71" s="745">
        <f>ROW()</f>
        <v>71</v>
      </c>
      <c r="B71" s="108" t="s">
        <v>129</v>
      </c>
      <c r="C71" s="1491">
        <v>65</v>
      </c>
      <c r="D71" s="459" t="s">
        <v>291</v>
      </c>
      <c r="E71" s="459"/>
      <c r="F71" s="459"/>
      <c r="I71" s="153"/>
      <c r="J71" s="153"/>
      <c r="K71" s="119"/>
      <c r="L71" s="119"/>
      <c r="M71" s="119"/>
      <c r="N71" s="119"/>
      <c r="O71" s="541"/>
    </row>
    <row r="72" spans="1:15">
      <c r="A72" s="745">
        <f>ROW()</f>
        <v>72</v>
      </c>
      <c r="B72" s="108" t="s">
        <v>130</v>
      </c>
      <c r="C72" s="1491">
        <v>150</v>
      </c>
      <c r="D72" s="459" t="s">
        <v>292</v>
      </c>
      <c r="E72" s="459"/>
      <c r="F72" s="459"/>
      <c r="I72" s="153"/>
      <c r="J72" s="153"/>
      <c r="K72" s="119"/>
      <c r="L72" s="119"/>
      <c r="M72" s="119"/>
      <c r="N72" s="119"/>
      <c r="O72" s="541" t="s">
        <v>1285</v>
      </c>
    </row>
    <row r="73" spans="1:15">
      <c r="A73" s="745">
        <f>ROW()</f>
        <v>73</v>
      </c>
      <c r="B73" s="108" t="s">
        <v>131</v>
      </c>
      <c r="C73" s="1216"/>
      <c r="D73" s="459"/>
      <c r="E73" s="459"/>
      <c r="F73" s="459"/>
      <c r="I73" s="153"/>
      <c r="J73" s="153"/>
      <c r="K73" s="119"/>
      <c r="L73" s="119"/>
      <c r="M73" s="119"/>
      <c r="N73" s="119"/>
      <c r="O73" s="541"/>
    </row>
    <row r="74" spans="1:15">
      <c r="A74" s="745">
        <f>ROW()</f>
        <v>74</v>
      </c>
      <c r="B74" s="108" t="s">
        <v>293</v>
      </c>
      <c r="C74" s="1491">
        <v>3000</v>
      </c>
      <c r="D74" s="52" t="s">
        <v>294</v>
      </c>
      <c r="E74" s="52"/>
      <c r="F74" s="52"/>
      <c r="I74" s="106"/>
      <c r="J74" s="106"/>
      <c r="K74" s="108"/>
      <c r="L74" s="108"/>
      <c r="M74" s="108"/>
      <c r="N74" s="108"/>
      <c r="O74" s="541"/>
    </row>
    <row r="75" spans="1:15">
      <c r="A75" s="745">
        <f>ROW()</f>
        <v>75</v>
      </c>
      <c r="B75" s="108" t="s">
        <v>295</v>
      </c>
      <c r="C75" s="1490" t="s">
        <v>296</v>
      </c>
      <c r="D75" s="52" t="s">
        <v>297</v>
      </c>
      <c r="E75" s="52"/>
      <c r="F75" s="52"/>
      <c r="H75" s="241"/>
      <c r="I75" s="106"/>
      <c r="J75" s="106"/>
      <c r="K75" s="108"/>
      <c r="L75" s="108"/>
      <c r="M75" s="108"/>
      <c r="N75" s="108"/>
      <c r="O75" s="541"/>
    </row>
    <row r="76" spans="1:15">
      <c r="A76" s="745">
        <f>ROW()</f>
        <v>76</v>
      </c>
      <c r="B76" s="108" t="s">
        <v>298</v>
      </c>
      <c r="C76" s="1217">
        <v>1.45</v>
      </c>
      <c r="D76" s="52" t="s">
        <v>299</v>
      </c>
      <c r="E76" s="52"/>
      <c r="F76" s="52"/>
      <c r="H76" s="241"/>
      <c r="I76" s="106"/>
      <c r="J76" s="106"/>
      <c r="K76" s="108"/>
      <c r="L76" s="108"/>
      <c r="M76" s="108"/>
      <c r="N76" s="108"/>
      <c r="O76" s="541"/>
    </row>
    <row r="77" spans="1:15">
      <c r="A77" s="745">
        <f>ROW()</f>
        <v>77</v>
      </c>
      <c r="B77" s="108" t="s">
        <v>300</v>
      </c>
      <c r="C77" s="1217">
        <v>2.25</v>
      </c>
      <c r="D77" s="52" t="s">
        <v>299</v>
      </c>
      <c r="E77" s="52"/>
      <c r="F77" s="52"/>
      <c r="I77" s="1204"/>
      <c r="J77" s="106"/>
      <c r="K77" s="108"/>
      <c r="L77" s="108"/>
      <c r="M77" s="108"/>
      <c r="N77" s="108"/>
      <c r="O77" s="541"/>
    </row>
    <row r="78" spans="1:15">
      <c r="A78" s="745">
        <f>ROW()</f>
        <v>78</v>
      </c>
      <c r="B78" s="108" t="s">
        <v>142</v>
      </c>
      <c r="C78" s="1217">
        <v>0</v>
      </c>
      <c r="D78" s="52" t="s">
        <v>301</v>
      </c>
      <c r="E78" s="52"/>
      <c r="F78" s="52"/>
      <c r="H78" s="240"/>
      <c r="I78" s="209"/>
      <c r="J78" s="106"/>
      <c r="K78" s="108"/>
      <c r="L78" s="108"/>
      <c r="M78" s="108"/>
      <c r="N78" s="108"/>
      <c r="O78" s="541"/>
    </row>
    <row r="79" spans="1:15">
      <c r="A79" s="745">
        <f>ROW()</f>
        <v>79</v>
      </c>
      <c r="B79" s="115" t="s">
        <v>302</v>
      </c>
      <c r="C79" s="1492" t="str">
        <f>+C51</f>
        <v xml:space="preserve">Clark </v>
      </c>
      <c r="D79" s="287"/>
      <c r="E79" s="287"/>
      <c r="F79" s="287"/>
      <c r="G79" s="108"/>
      <c r="H79" s="239"/>
      <c r="I79" s="1205"/>
      <c r="J79" s="106"/>
      <c r="K79" s="108"/>
      <c r="L79" s="108"/>
      <c r="M79" s="108"/>
      <c r="N79" s="108"/>
      <c r="O79" s="541"/>
    </row>
    <row r="80" spans="1:15">
      <c r="A80" s="745">
        <f>ROW()</f>
        <v>80</v>
      </c>
      <c r="B80" s="208"/>
      <c r="C80" s="208"/>
      <c r="D80" s="1493"/>
      <c r="E80" s="1493"/>
      <c r="F80" s="1493"/>
      <c r="G80" s="205"/>
      <c r="H80" s="1494"/>
      <c r="I80" s="1494"/>
      <c r="J80" s="1494"/>
      <c r="K80" s="1494"/>
      <c r="L80" s="1494"/>
      <c r="M80" s="1494"/>
      <c r="N80" s="155"/>
      <c r="O80" s="541"/>
    </row>
    <row r="81" spans="1:15">
      <c r="A81" s="745">
        <f>ROW()</f>
        <v>81</v>
      </c>
      <c r="B81" s="145" t="s">
        <v>303</v>
      </c>
      <c r="C81" s="145"/>
      <c r="D81" s="190"/>
      <c r="E81" s="190"/>
      <c r="F81" s="190"/>
      <c r="G81" s="1751"/>
      <c r="H81" s="170">
        <f t="shared" ref="H81:M81" si="27">+H34</f>
        <v>180</v>
      </c>
      <c r="I81" s="170">
        <f t="shared" si="27"/>
        <v>240</v>
      </c>
      <c r="J81" s="170">
        <f t="shared" si="27"/>
        <v>300</v>
      </c>
      <c r="K81" s="170">
        <f t="shared" si="27"/>
        <v>360</v>
      </c>
      <c r="L81" s="170">
        <f t="shared" si="27"/>
        <v>360</v>
      </c>
      <c r="M81" s="170">
        <f t="shared" si="27"/>
        <v>360</v>
      </c>
      <c r="N81" s="155"/>
      <c r="O81" s="541"/>
    </row>
    <row r="82" spans="1:15">
      <c r="A82" s="745">
        <f>ROW()</f>
        <v>82</v>
      </c>
      <c r="B82" s="145" t="s">
        <v>304</v>
      </c>
      <c r="C82" s="145"/>
      <c r="D82" s="190"/>
      <c r="E82" s="190"/>
      <c r="F82" s="190"/>
      <c r="G82" s="1751"/>
      <c r="H82" s="170"/>
      <c r="I82" s="170"/>
      <c r="J82" s="170"/>
      <c r="K82" s="170"/>
      <c r="L82" s="170"/>
      <c r="M82" s="170"/>
      <c r="N82" s="155"/>
      <c r="O82" s="541"/>
    </row>
    <row r="83" spans="1:15">
      <c r="A83" s="745">
        <f>ROW()</f>
        <v>83</v>
      </c>
      <c r="B83" s="205" t="s">
        <v>305</v>
      </c>
      <c r="C83" s="205"/>
      <c r="D83" s="205"/>
      <c r="E83" s="205"/>
      <c r="F83" s="205"/>
      <c r="G83" s="1780"/>
      <c r="H83" s="1774">
        <f t="shared" ref="H83:M83" si="28">SUM(H53:H58)</f>
        <v>1303682.094</v>
      </c>
      <c r="I83" s="1774">
        <f t="shared" si="28"/>
        <v>1918158.743064564</v>
      </c>
      <c r="J83" s="1774">
        <f t="shared" si="28"/>
        <v>2412691.4247527518</v>
      </c>
      <c r="K83" s="1774">
        <f t="shared" si="28"/>
        <v>2907224.1064409399</v>
      </c>
      <c r="L83" s="1774">
        <f t="shared" si="28"/>
        <v>2967196.0901291282</v>
      </c>
      <c r="M83" s="1774">
        <f t="shared" si="28"/>
        <v>2967196.0901291282</v>
      </c>
      <c r="N83" s="155"/>
      <c r="O83" s="541"/>
    </row>
    <row r="84" spans="1:15">
      <c r="A84" s="745">
        <f>ROW()</f>
        <v>84</v>
      </c>
      <c r="B84" s="1787" t="s">
        <v>306</v>
      </c>
      <c r="C84" s="148"/>
      <c r="D84" s="148"/>
      <c r="E84" s="148"/>
      <c r="F84" s="148"/>
      <c r="G84" s="1784"/>
      <c r="H84" s="1785">
        <f t="shared" ref="H84:M84" si="29">+H83/H34</f>
        <v>7242.6783000000005</v>
      </c>
      <c r="I84" s="1785">
        <f t="shared" si="29"/>
        <v>7992.3280961023502</v>
      </c>
      <c r="J84" s="1785">
        <f t="shared" si="29"/>
        <v>8042.3047491758398</v>
      </c>
      <c r="K84" s="1785">
        <f t="shared" si="29"/>
        <v>8075.6225178915001</v>
      </c>
      <c r="L84" s="1785">
        <f t="shared" si="29"/>
        <v>8242.211361469801</v>
      </c>
      <c r="M84" s="1785">
        <f t="shared" si="29"/>
        <v>8242.211361469801</v>
      </c>
      <c r="N84" s="155"/>
      <c r="O84" s="541"/>
    </row>
    <row r="85" spans="1:15">
      <c r="A85" s="745">
        <f>ROW()</f>
        <v>85</v>
      </c>
      <c r="B85" s="150" t="s">
        <v>307</v>
      </c>
      <c r="C85" s="1779">
        <f>+C67</f>
        <v>0.01</v>
      </c>
      <c r="D85" s="150"/>
      <c r="E85" s="150"/>
      <c r="F85" s="150"/>
      <c r="H85" s="1775"/>
      <c r="I85" s="1754">
        <f>+$C$67*I83</f>
        <v>19181.587430645639</v>
      </c>
      <c r="J85" s="1754">
        <f>+$C$67*J83</f>
        <v>24126.914247527518</v>
      </c>
      <c r="K85" s="1754">
        <f>+$C$67*K83</f>
        <v>29072.241064409402</v>
      </c>
      <c r="L85" s="1754">
        <f>+$C$67*L83</f>
        <v>29671.960901291284</v>
      </c>
      <c r="M85" s="1754">
        <f>+$C$67*M83</f>
        <v>29671.960901291284</v>
      </c>
      <c r="N85" s="155"/>
      <c r="O85" s="541"/>
    </row>
    <row r="86" spans="1:15">
      <c r="A86" s="745">
        <f>ROW()</f>
        <v>86</v>
      </c>
      <c r="B86" s="205" t="s">
        <v>308</v>
      </c>
      <c r="C86" s="205"/>
      <c r="D86" s="205"/>
      <c r="E86" s="205"/>
      <c r="F86" s="205"/>
      <c r="G86" s="1780"/>
      <c r="H86" s="1781">
        <f t="shared" ref="H86:M86" si="30">+H83+H85</f>
        <v>1303682.094</v>
      </c>
      <c r="I86" s="1781">
        <f t="shared" si="30"/>
        <v>1937340.3304952097</v>
      </c>
      <c r="J86" s="1781">
        <f t="shared" si="30"/>
        <v>2436818.3390002795</v>
      </c>
      <c r="K86" s="1781">
        <f t="shared" si="30"/>
        <v>2936296.3475053492</v>
      </c>
      <c r="L86" s="1781">
        <f t="shared" si="30"/>
        <v>2996868.0510304193</v>
      </c>
      <c r="M86" s="1781">
        <f t="shared" si="30"/>
        <v>2996868.0510304193</v>
      </c>
      <c r="N86" s="155"/>
      <c r="O86" s="541"/>
    </row>
    <row r="87" spans="1:15">
      <c r="A87" s="745">
        <f>ROW()</f>
        <v>87</v>
      </c>
      <c r="B87" s="150" t="s">
        <v>1234</v>
      </c>
      <c r="C87" s="145"/>
      <c r="D87" s="150"/>
      <c r="E87" s="150"/>
      <c r="F87" s="150"/>
      <c r="G87" s="1753"/>
      <c r="H87" s="1754">
        <f t="shared" ref="H87:M87" si="31">-H86*$C$69</f>
        <v>-16296.026175000001</v>
      </c>
      <c r="I87" s="1754">
        <f t="shared" si="31"/>
        <v>-24216.754131190122</v>
      </c>
      <c r="J87" s="1754">
        <f t="shared" si="31"/>
        <v>-30460.229237503496</v>
      </c>
      <c r="K87" s="1754">
        <f t="shared" si="31"/>
        <v>-36703.704343816869</v>
      </c>
      <c r="L87" s="1754">
        <f t="shared" si="31"/>
        <v>-37460.850637880241</v>
      </c>
      <c r="M87" s="1754">
        <f t="shared" si="31"/>
        <v>-37460.850637880241</v>
      </c>
      <c r="N87" s="155"/>
      <c r="O87" s="541"/>
    </row>
    <row r="88" spans="1:15">
      <c r="A88" s="745">
        <f>ROW()</f>
        <v>88</v>
      </c>
      <c r="B88" s="208" t="s">
        <v>309</v>
      </c>
      <c r="C88" s="208"/>
      <c r="D88" s="1493"/>
      <c r="E88" s="1493"/>
      <c r="F88" s="1493"/>
      <c r="G88" s="205"/>
      <c r="H88" s="1783">
        <f>SUM(H86:H87)</f>
        <v>1287386.067825</v>
      </c>
      <c r="I88" s="1783">
        <f t="shared" ref="I88:M88" si="32">SUM(I86:I87)</f>
        <v>1913123.5763640197</v>
      </c>
      <c r="J88" s="1783">
        <f t="shared" si="32"/>
        <v>2406358.1097627762</v>
      </c>
      <c r="K88" s="1783">
        <f t="shared" si="32"/>
        <v>2899592.6431615325</v>
      </c>
      <c r="L88" s="1783">
        <f t="shared" si="32"/>
        <v>2959407.2003925391</v>
      </c>
      <c r="M88" s="1783">
        <f t="shared" si="32"/>
        <v>2959407.2003925391</v>
      </c>
      <c r="N88" s="155"/>
      <c r="O88" s="541"/>
    </row>
    <row r="89" spans="1:15">
      <c r="A89" s="745">
        <f>ROW()</f>
        <v>89</v>
      </c>
      <c r="B89" s="145"/>
      <c r="C89" s="145"/>
      <c r="D89" s="190"/>
      <c r="E89" s="190"/>
      <c r="F89" s="190"/>
      <c r="G89" s="150"/>
      <c r="H89" s="209"/>
      <c r="I89" s="209"/>
      <c r="J89" s="209"/>
      <c r="K89" s="209"/>
      <c r="L89" s="209"/>
      <c r="M89" s="209"/>
      <c r="N89" s="155"/>
      <c r="O89" s="541"/>
    </row>
    <row r="90" spans="1:15" hidden="1">
      <c r="A90" s="745">
        <f>ROW()</f>
        <v>90</v>
      </c>
      <c r="B90" s="567" t="s">
        <v>126</v>
      </c>
      <c r="C90" s="1695">
        <f t="shared" ref="C90:C99" si="33">SUM(G90:M90)</f>
        <v>0</v>
      </c>
      <c r="D90" s="1696"/>
      <c r="E90" s="1696"/>
      <c r="F90" s="1696"/>
      <c r="G90" s="1697"/>
      <c r="H90" s="1698">
        <f t="shared" ref="H90:M90" si="34">IF($H$88&gt;0,0,($C$66*H34))</f>
        <v>0</v>
      </c>
      <c r="I90" s="1699">
        <f t="shared" si="34"/>
        <v>0</v>
      </c>
      <c r="J90" s="1698">
        <f t="shared" si="34"/>
        <v>0</v>
      </c>
      <c r="K90" s="1698">
        <f t="shared" si="34"/>
        <v>0</v>
      </c>
      <c r="L90" s="1698">
        <f t="shared" si="34"/>
        <v>0</v>
      </c>
      <c r="M90" s="1698">
        <f t="shared" si="34"/>
        <v>0</v>
      </c>
      <c r="O90" s="541"/>
    </row>
    <row r="91" spans="1:15" hidden="1">
      <c r="A91" s="745">
        <f>ROW()</f>
        <v>91</v>
      </c>
      <c r="B91" s="567" t="s">
        <v>127</v>
      </c>
      <c r="C91" s="1700">
        <f>IFERROR(SUM(G91:M91),0)</f>
        <v>0</v>
      </c>
      <c r="D91" s="1701"/>
      <c r="E91" s="1701"/>
      <c r="F91" s="1701"/>
      <c r="G91" s="1702"/>
      <c r="H91" s="1703">
        <f>-$C$69*H90</f>
        <v>0</v>
      </c>
      <c r="I91" s="1704">
        <f t="shared" ref="I91:M91" si="35">-$C$69*I90</f>
        <v>0</v>
      </c>
      <c r="J91" s="1704">
        <f t="shared" si="35"/>
        <v>0</v>
      </c>
      <c r="K91" s="1704">
        <f t="shared" si="35"/>
        <v>0</v>
      </c>
      <c r="L91" s="1704">
        <f t="shared" si="35"/>
        <v>0</v>
      </c>
      <c r="M91" s="1704">
        <f t="shared" si="35"/>
        <v>0</v>
      </c>
      <c r="O91" s="541"/>
    </row>
    <row r="92" spans="1:15">
      <c r="A92" s="745">
        <f>ROW()</f>
        <v>92</v>
      </c>
      <c r="B92" s="80" t="s">
        <v>128</v>
      </c>
      <c r="C92" s="170">
        <f t="shared" si="33"/>
        <v>522488.88000000006</v>
      </c>
      <c r="D92" s="170"/>
      <c r="E92" s="170"/>
      <c r="F92" s="170"/>
      <c r="G92" s="1211"/>
      <c r="H92" s="1212">
        <f t="shared" ref="H92:M92" si="36">(H34*H61)*($C$70)</f>
        <v>52248.888000000014</v>
      </c>
      <c r="I92" s="1212">
        <f t="shared" si="36"/>
        <v>69665.184000000008</v>
      </c>
      <c r="J92" s="1212">
        <f t="shared" si="36"/>
        <v>87081.48000000001</v>
      </c>
      <c r="K92" s="1212">
        <f t="shared" si="36"/>
        <v>104497.77600000003</v>
      </c>
      <c r="L92" s="1212">
        <f t="shared" si="36"/>
        <v>104497.77600000003</v>
      </c>
      <c r="M92" s="1212">
        <f t="shared" si="36"/>
        <v>104497.77600000003</v>
      </c>
      <c r="O92" s="541" t="s">
        <v>310</v>
      </c>
    </row>
    <row r="93" spans="1:15">
      <c r="A93" s="745">
        <f>ROW()</f>
        <v>93</v>
      </c>
      <c r="B93" s="106" t="s">
        <v>129</v>
      </c>
      <c r="C93" s="170">
        <f t="shared" si="33"/>
        <v>67163.400000000009</v>
      </c>
      <c r="D93" s="170"/>
      <c r="E93" s="170"/>
      <c r="F93" s="170"/>
      <c r="G93" s="1211"/>
      <c r="H93" s="1212">
        <f t="shared" ref="H93:M93" si="37">($C$71*H34*H61)+(H34*3.5)</f>
        <v>6716.3400000000011</v>
      </c>
      <c r="I93" s="1212">
        <f t="shared" si="37"/>
        <v>8955.1200000000026</v>
      </c>
      <c r="J93" s="1212">
        <f t="shared" si="37"/>
        <v>11193.900000000001</v>
      </c>
      <c r="K93" s="1212">
        <f t="shared" si="37"/>
        <v>13432.680000000002</v>
      </c>
      <c r="L93" s="1212">
        <f t="shared" si="37"/>
        <v>13432.680000000002</v>
      </c>
      <c r="M93" s="1212">
        <f t="shared" si="37"/>
        <v>13432.680000000002</v>
      </c>
      <c r="O93" s="541"/>
    </row>
    <row r="94" spans="1:15">
      <c r="A94" s="745">
        <f>ROW()</f>
        <v>94</v>
      </c>
      <c r="B94" s="106" t="s">
        <v>130</v>
      </c>
      <c r="C94" s="170">
        <f t="shared" si="33"/>
        <v>97200.000000000015</v>
      </c>
      <c r="D94" s="170"/>
      <c r="E94" s="170"/>
      <c r="F94" s="170"/>
      <c r="G94" s="1211"/>
      <c r="H94" s="1212">
        <f t="shared" ref="H94:M94" si="38">$C$72*H34*H62</f>
        <v>9720.0000000000018</v>
      </c>
      <c r="I94" s="1212">
        <f t="shared" si="38"/>
        <v>12960.000000000002</v>
      </c>
      <c r="J94" s="1212">
        <f t="shared" si="38"/>
        <v>16200.000000000002</v>
      </c>
      <c r="K94" s="1212">
        <f t="shared" si="38"/>
        <v>19440.000000000004</v>
      </c>
      <c r="L94" s="1212">
        <f t="shared" si="38"/>
        <v>19440.000000000004</v>
      </c>
      <c r="M94" s="1212">
        <f t="shared" si="38"/>
        <v>19440.000000000004</v>
      </c>
      <c r="O94" s="541"/>
    </row>
    <row r="95" spans="1:15">
      <c r="A95" s="745">
        <f>ROW()</f>
        <v>95</v>
      </c>
      <c r="B95" s="106" t="s">
        <v>131</v>
      </c>
      <c r="C95" s="170">
        <v>0</v>
      </c>
      <c r="D95" s="170"/>
      <c r="E95" s="170"/>
      <c r="F95" s="170"/>
      <c r="G95" s="1213"/>
      <c r="H95" s="1374">
        <v>0</v>
      </c>
      <c r="I95" s="1214"/>
      <c r="J95" s="1214"/>
      <c r="K95" s="1214"/>
      <c r="L95" s="1214"/>
      <c r="M95" s="1214"/>
      <c r="O95" s="541" t="s">
        <v>1319</v>
      </c>
    </row>
    <row r="96" spans="1:15">
      <c r="A96" s="745">
        <f>ROW()</f>
        <v>96</v>
      </c>
      <c r="B96" s="80" t="s">
        <v>132</v>
      </c>
      <c r="C96" s="170">
        <f t="shared" si="33"/>
        <v>244389.96000000008</v>
      </c>
      <c r="D96" s="170"/>
      <c r="E96" s="170"/>
      <c r="F96" s="170"/>
      <c r="G96" s="1211"/>
      <c r="H96" s="1212">
        <f>IF($C$75="yes",$C$76*Staff!$C$65*(H34*H61),0)</f>
        <v>24438.996000000006</v>
      </c>
      <c r="I96" s="1212">
        <f>IF($C$75="yes",$C$76*Staff!$C$65*(I34*I61),0)</f>
        <v>32585.328000000009</v>
      </c>
      <c r="J96" s="1212">
        <f>IF($C$75="yes",$C$76*Staff!$C$65*(J34*J61),0)</f>
        <v>40731.660000000011</v>
      </c>
      <c r="K96" s="1212">
        <f>IF($C$75="yes",$C$76*Staff!$C$65*(K34*K61),0)</f>
        <v>48877.992000000013</v>
      </c>
      <c r="L96" s="1212">
        <f>IF($C$75="yes",$C$76*Staff!$C$65*(L34*L61),0)</f>
        <v>48877.992000000013</v>
      </c>
      <c r="M96" s="1212">
        <f>IF($C$75="yes",$C$76*Staff!$C$65*(M34*M61),0)</f>
        <v>48877.992000000013</v>
      </c>
      <c r="O96" s="541"/>
    </row>
    <row r="97" spans="1:15">
      <c r="A97" s="745">
        <f>ROW()</f>
        <v>97</v>
      </c>
      <c r="B97" s="80" t="s">
        <v>311</v>
      </c>
      <c r="C97" s="170">
        <f t="shared" si="33"/>
        <v>379225.8000000001</v>
      </c>
      <c r="D97" s="170"/>
      <c r="E97" s="170"/>
      <c r="F97" s="170"/>
      <c r="G97" s="1211"/>
      <c r="H97" s="1212">
        <f>(H34*H61)*Staff!$C$65*$C$77</f>
        <v>37922.580000000009</v>
      </c>
      <c r="I97" s="1212">
        <f>(I34*I61)*Staff!$C$65*$C$77</f>
        <v>50563.440000000017</v>
      </c>
      <c r="J97" s="1212">
        <f>(J34*J61)*Staff!$C$65*$C$77</f>
        <v>63204.300000000017</v>
      </c>
      <c r="K97" s="1212">
        <f>(K34*K61)*Staff!$C$65*$C$77</f>
        <v>75845.160000000018</v>
      </c>
      <c r="L97" s="1212">
        <f>(L34*L61)*Staff!$C$65*$C$77</f>
        <v>75845.160000000018</v>
      </c>
      <c r="M97" s="1212">
        <f>(M34*M61)*Staff!$C$65*$C$77</f>
        <v>75845.160000000018</v>
      </c>
      <c r="O97" s="541"/>
    </row>
    <row r="98" spans="1:15">
      <c r="A98" s="745">
        <f>ROW()</f>
        <v>98</v>
      </c>
      <c r="B98" s="80" t="s">
        <v>134</v>
      </c>
      <c r="C98" s="170">
        <f t="shared" si="33"/>
        <v>647999.99999999988</v>
      </c>
      <c r="D98" s="170"/>
      <c r="E98" s="170"/>
      <c r="F98" s="170"/>
      <c r="G98" s="1211"/>
      <c r="H98" s="1212">
        <f t="shared" ref="H98:M98" si="39">(H34*H63)*$C$74</f>
        <v>64799.999999999993</v>
      </c>
      <c r="I98" s="1212">
        <f t="shared" si="39"/>
        <v>86399.999999999985</v>
      </c>
      <c r="J98" s="1212">
        <f t="shared" si="39"/>
        <v>108000</v>
      </c>
      <c r="K98" s="1212">
        <f t="shared" si="39"/>
        <v>129599.99999999999</v>
      </c>
      <c r="L98" s="1212">
        <f t="shared" si="39"/>
        <v>129599.99999999999</v>
      </c>
      <c r="M98" s="1212">
        <f t="shared" si="39"/>
        <v>129599.99999999999</v>
      </c>
      <c r="O98" s="541"/>
    </row>
    <row r="99" spans="1:15">
      <c r="A99" s="745">
        <f>ROW()</f>
        <v>99</v>
      </c>
      <c r="B99" s="80" t="s">
        <v>312</v>
      </c>
      <c r="C99" s="170">
        <f t="shared" si="33"/>
        <v>413006.48737919994</v>
      </c>
      <c r="D99" s="170"/>
      <c r="E99" s="170"/>
      <c r="F99" s="170"/>
      <c r="G99" s="1210"/>
      <c r="H99" s="1385"/>
      <c r="I99" s="942">
        <f>+I54</f>
        <v>51625.810922399993</v>
      </c>
      <c r="J99" s="942">
        <f>+J54</f>
        <v>68834.414563199985</v>
      </c>
      <c r="K99" s="942">
        <f>+K54</f>
        <v>86043.018203999993</v>
      </c>
      <c r="L99" s="942">
        <f>+L54</f>
        <v>103251.62184479999</v>
      </c>
      <c r="M99" s="942">
        <f>+M54</f>
        <v>103251.62184479999</v>
      </c>
      <c r="O99" s="1382" t="s">
        <v>313</v>
      </c>
    </row>
    <row r="100" spans="1:15" ht="30">
      <c r="A100" s="1407">
        <f>ROW()</f>
        <v>100</v>
      </c>
      <c r="B100" s="181" t="s">
        <v>314</v>
      </c>
      <c r="C100" s="170">
        <f>SUM(G100:M100)</f>
        <v>0</v>
      </c>
      <c r="D100" s="170"/>
      <c r="E100" s="170"/>
      <c r="F100" s="170"/>
      <c r="G100" s="1408">
        <v>0</v>
      </c>
      <c r="H100" s="1408">
        <v>0</v>
      </c>
      <c r="I100" s="1408">
        <v>0</v>
      </c>
      <c r="J100" s="1408">
        <v>0</v>
      </c>
      <c r="K100" s="1408">
        <v>0</v>
      </c>
      <c r="L100" s="1408">
        <v>0</v>
      </c>
      <c r="M100" s="1408">
        <v>0</v>
      </c>
      <c r="O100" s="541"/>
    </row>
    <row r="101" spans="1:15">
      <c r="A101" s="745">
        <f>ROW()</f>
        <v>101</v>
      </c>
      <c r="B101" s="80" t="s">
        <v>315</v>
      </c>
      <c r="C101" s="170">
        <f t="shared" ref="C101:C108" si="40">SUM(G101:M101)</f>
        <v>1000000</v>
      </c>
      <c r="D101" s="170"/>
      <c r="E101" s="170"/>
      <c r="F101" s="170"/>
      <c r="G101" s="508">
        <v>500000</v>
      </c>
      <c r="H101" s="508">
        <v>500000</v>
      </c>
      <c r="I101" s="508">
        <v>0</v>
      </c>
      <c r="J101" s="508">
        <v>0</v>
      </c>
      <c r="K101" s="508">
        <v>0</v>
      </c>
      <c r="L101" s="508">
        <v>0</v>
      </c>
      <c r="M101" s="508">
        <v>0</v>
      </c>
      <c r="O101" s="541" t="s">
        <v>1283</v>
      </c>
    </row>
    <row r="102" spans="1:15">
      <c r="A102" s="745">
        <f>ROW()</f>
        <v>102</v>
      </c>
      <c r="B102" s="80" t="s">
        <v>316</v>
      </c>
      <c r="C102" s="170">
        <f t="shared" si="40"/>
        <v>0</v>
      </c>
      <c r="D102" s="170"/>
      <c r="E102" s="170"/>
      <c r="F102" s="170"/>
      <c r="G102" s="510">
        <v>0</v>
      </c>
      <c r="H102" s="874">
        <f t="shared" ref="H102:M102" si="41">$C$78*H34</f>
        <v>0</v>
      </c>
      <c r="I102" s="874">
        <f t="shared" si="41"/>
        <v>0</v>
      </c>
      <c r="J102" s="874">
        <f t="shared" si="41"/>
        <v>0</v>
      </c>
      <c r="K102" s="874">
        <f t="shared" si="41"/>
        <v>0</v>
      </c>
      <c r="L102" s="874">
        <f t="shared" si="41"/>
        <v>0</v>
      </c>
      <c r="M102" s="874">
        <f t="shared" si="41"/>
        <v>0</v>
      </c>
      <c r="O102" s="541"/>
    </row>
    <row r="103" spans="1:15">
      <c r="A103" s="745">
        <f>ROW()</f>
        <v>103</v>
      </c>
      <c r="B103" s="80" t="s">
        <v>138</v>
      </c>
      <c r="C103" s="170">
        <f t="shared" si="40"/>
        <v>0</v>
      </c>
      <c r="D103" s="170"/>
      <c r="E103" s="170"/>
      <c r="F103" s="170"/>
      <c r="G103" s="508">
        <v>0</v>
      </c>
      <c r="H103" s="508">
        <v>0</v>
      </c>
      <c r="I103" s="508">
        <v>0</v>
      </c>
      <c r="J103" s="508">
        <v>0</v>
      </c>
      <c r="K103" s="508">
        <v>0</v>
      </c>
      <c r="L103" s="508">
        <v>0</v>
      </c>
      <c r="M103" s="508">
        <v>0</v>
      </c>
      <c r="O103" s="541"/>
    </row>
    <row r="104" spans="1:15">
      <c r="A104" s="745">
        <f>ROW()</f>
        <v>104</v>
      </c>
      <c r="B104" s="80" t="s">
        <v>317</v>
      </c>
      <c r="C104" s="170">
        <f t="shared" si="40"/>
        <v>0</v>
      </c>
      <c r="D104" s="170"/>
      <c r="E104" s="170"/>
      <c r="F104" s="170"/>
      <c r="G104" s="508">
        <v>0</v>
      </c>
      <c r="H104" s="508">
        <v>0</v>
      </c>
      <c r="I104" s="508">
        <v>0</v>
      </c>
      <c r="J104" s="508">
        <v>0</v>
      </c>
      <c r="K104" s="508">
        <v>0</v>
      </c>
      <c r="L104" s="508">
        <v>0</v>
      </c>
      <c r="M104" s="508">
        <v>0</v>
      </c>
      <c r="O104" s="541"/>
    </row>
    <row r="105" spans="1:15">
      <c r="A105" s="745">
        <f>ROW()</f>
        <v>105</v>
      </c>
      <c r="B105" s="80" t="s">
        <v>318</v>
      </c>
      <c r="C105" s="170">
        <f t="shared" si="40"/>
        <v>0</v>
      </c>
      <c r="D105" s="170"/>
      <c r="E105" s="170"/>
      <c r="F105" s="170"/>
      <c r="G105" s="508">
        <v>0</v>
      </c>
      <c r="H105" s="508">
        <v>0</v>
      </c>
      <c r="I105" s="508">
        <v>0</v>
      </c>
      <c r="J105" s="508">
        <v>0</v>
      </c>
      <c r="K105" s="508">
        <v>0</v>
      </c>
      <c r="L105" s="508">
        <v>0</v>
      </c>
      <c r="M105" s="508">
        <v>0</v>
      </c>
      <c r="O105" s="541"/>
    </row>
    <row r="106" spans="1:15">
      <c r="A106" s="745">
        <f>ROW()</f>
        <v>106</v>
      </c>
      <c r="B106" s="80" t="s">
        <v>141</v>
      </c>
      <c r="C106" s="170">
        <f t="shared" si="40"/>
        <v>0</v>
      </c>
      <c r="D106" s="170"/>
      <c r="E106" s="170"/>
      <c r="F106" s="170"/>
      <c r="G106" s="508">
        <v>0</v>
      </c>
      <c r="H106" s="508">
        <v>0</v>
      </c>
      <c r="I106" s="508">
        <v>0</v>
      </c>
      <c r="J106" s="508">
        <v>0</v>
      </c>
      <c r="K106" s="508">
        <v>0</v>
      </c>
      <c r="L106" s="508">
        <v>0</v>
      </c>
      <c r="M106" s="508">
        <v>0</v>
      </c>
      <c r="O106" s="541"/>
    </row>
    <row r="107" spans="1:15">
      <c r="A107" s="745">
        <f>ROW()</f>
        <v>107</v>
      </c>
      <c r="B107" s="80" t="s">
        <v>143</v>
      </c>
      <c r="C107" s="170">
        <f t="shared" si="40"/>
        <v>0</v>
      </c>
      <c r="D107" s="170"/>
      <c r="E107" s="170"/>
      <c r="F107" s="170"/>
      <c r="G107" s="508">
        <v>0</v>
      </c>
      <c r="H107" s="508">
        <v>0</v>
      </c>
      <c r="I107" s="508">
        <v>0</v>
      </c>
      <c r="J107" s="508">
        <v>0</v>
      </c>
      <c r="K107" s="508">
        <v>0</v>
      </c>
      <c r="L107" s="508">
        <v>0</v>
      </c>
      <c r="M107" s="508">
        <v>0</v>
      </c>
      <c r="O107" s="541"/>
    </row>
    <row r="108" spans="1:15">
      <c r="A108" s="745">
        <f>ROW()</f>
        <v>108</v>
      </c>
      <c r="B108" s="80" t="s">
        <v>319</v>
      </c>
      <c r="C108" s="170">
        <f t="shared" si="40"/>
        <v>1947360</v>
      </c>
      <c r="D108" s="170"/>
      <c r="E108" s="170"/>
      <c r="F108" s="170"/>
      <c r="G108" s="508">
        <v>0</v>
      </c>
      <c r="H108" s="509">
        <v>265330</v>
      </c>
      <c r="I108" s="508">
        <v>292325</v>
      </c>
      <c r="J108" s="508">
        <v>320398</v>
      </c>
      <c r="K108" s="508">
        <v>349597</v>
      </c>
      <c r="L108" s="508">
        <v>356368</v>
      </c>
      <c r="M108" s="508">
        <v>363342</v>
      </c>
      <c r="O108" s="541" t="s">
        <v>1322</v>
      </c>
    </row>
    <row r="109" spans="1:15" ht="15.75">
      <c r="A109" s="745">
        <f>ROW()</f>
        <v>109</v>
      </c>
      <c r="B109" s="1836" t="s">
        <v>200</v>
      </c>
      <c r="C109" s="564">
        <f t="shared" ref="C109" si="42">SUM(H109:M109)</f>
        <v>19244109.325277608</v>
      </c>
      <c r="D109" s="565"/>
      <c r="E109" s="565"/>
      <c r="F109" s="565"/>
      <c r="G109" s="566">
        <f>G90+G91+G92+G93+G94+G96+G97+G98+G99+G100+G101+G102+G103+G106+G107+G108</f>
        <v>500000</v>
      </c>
      <c r="H109" s="566">
        <f t="shared" ref="H109:M109" si="43">SUM(H88:H108)</f>
        <v>2248562.8718250003</v>
      </c>
      <c r="I109" s="566">
        <f t="shared" si="43"/>
        <v>2518203.4592864197</v>
      </c>
      <c r="J109" s="566">
        <f t="shared" si="43"/>
        <v>3122001.864325976</v>
      </c>
      <c r="K109" s="566">
        <f t="shared" si="43"/>
        <v>3726926.2693655328</v>
      </c>
      <c r="L109" s="566">
        <f t="shared" si="43"/>
        <v>3810720.4302373398</v>
      </c>
      <c r="M109" s="566">
        <f t="shared" si="43"/>
        <v>3817694.4302373398</v>
      </c>
      <c r="O109" s="541"/>
    </row>
    <row r="110" spans="1:15">
      <c r="A110" s="745">
        <f>ROW()</f>
        <v>110</v>
      </c>
      <c r="B110" s="1792" t="s">
        <v>146</v>
      </c>
      <c r="C110" s="149"/>
      <c r="D110" s="149"/>
      <c r="E110" s="149"/>
      <c r="F110" s="149"/>
      <c r="G110" s="1793"/>
      <c r="H110" s="1794">
        <f t="shared" ref="H110:M110" si="44">IFERROR(H109/H34,0)</f>
        <v>12492.015954583334</v>
      </c>
      <c r="I110" s="1794">
        <f t="shared" si="44"/>
        <v>10492.514413693416</v>
      </c>
      <c r="J110" s="1794">
        <f t="shared" si="44"/>
        <v>10406.672881086586</v>
      </c>
      <c r="K110" s="1794">
        <f t="shared" si="44"/>
        <v>10352.572970459812</v>
      </c>
      <c r="L110" s="1794">
        <f t="shared" si="44"/>
        <v>10585.334528437055</v>
      </c>
      <c r="M110" s="1794">
        <f t="shared" si="44"/>
        <v>10604.706750659278</v>
      </c>
      <c r="O110" s="541"/>
    </row>
    <row r="111" spans="1:15">
      <c r="A111" s="745"/>
      <c r="B111" s="86"/>
      <c r="C111" s="86"/>
      <c r="D111" s="86"/>
      <c r="E111" s="86"/>
      <c r="F111" s="86"/>
      <c r="K111" s="84"/>
      <c r="L111" s="84"/>
      <c r="M111" s="84"/>
    </row>
    <row r="112" spans="1:15">
      <c r="A112" s="101"/>
      <c r="B112" s="86"/>
      <c r="C112" s="86"/>
      <c r="D112" s="86"/>
      <c r="E112" s="86"/>
      <c r="F112" s="86"/>
      <c r="K112" s="84"/>
      <c r="L112" s="84"/>
      <c r="M112" s="84"/>
    </row>
  </sheetData>
  <phoneticPr fontId="7" type="noConversion"/>
  <conditionalFormatting sqref="H64:M64">
    <cfRule type="cellIs" dxfId="70" priority="140" stopIfTrue="1" operator="equal">
      <formula>0</formula>
    </cfRule>
  </conditionalFormatting>
  <conditionalFormatting sqref="B21:F33 C13:F13">
    <cfRule type="expression" dxfId="69" priority="165" stopIfTrue="1">
      <formula>MOD(ROW(),2)=0</formula>
    </cfRule>
  </conditionalFormatting>
  <conditionalFormatting sqref="H15:M15">
    <cfRule type="cellIs" dxfId="68" priority="209" stopIfTrue="1" operator="equal">
      <formula>0</formula>
    </cfRule>
  </conditionalFormatting>
  <conditionalFormatting sqref="H63:I63">
    <cfRule type="cellIs" dxfId="67" priority="15" operator="greaterThan">
      <formula>0.25</formula>
    </cfRule>
  </conditionalFormatting>
  <conditionalFormatting sqref="D1:F1">
    <cfRule type="expression" dxfId="66" priority="13" stopIfTrue="1">
      <formula>MOD(ROW(),2)=0</formula>
    </cfRule>
  </conditionalFormatting>
  <conditionalFormatting sqref="H17:M17">
    <cfRule type="cellIs" dxfId="65" priority="8" stopIfTrue="1" operator="equal">
      <formula>0</formula>
    </cfRule>
  </conditionalFormatting>
  <hyperlinks>
    <hyperlink ref="D1" location="HypLink1" display="HypLink1"/>
  </hyperlinks>
  <pageMargins left="0.25" right="0.25" top="0.5" bottom="0.45" header="0.25" footer="0.25"/>
  <pageSetup scale="60" fitToHeight="4" orientation="landscape" r:id="rId1"/>
  <headerFooter>
    <oddHeader xml:space="preserve">&amp;L &amp;C &amp;R </oddHeader>
    <oddFooter>&amp;L&amp;7&amp;D  at &amp;T Mike 702.854.0691&amp;C&amp;7&amp;F  &amp;A&amp;R&amp;7Page &amp;P of &amp;N</oddFooter>
  </headerFooter>
  <rowBreaks count="1" manualBreakCount="1">
    <brk id="65" max="11" man="1"/>
  </rowBreaks>
  <drawing r:id="rId2"/>
  <legacyDrawing r:id="rId3"/>
  <extLst>
    <ext xmlns:x14="http://schemas.microsoft.com/office/spreadsheetml/2009/9/main" uri="{CCE6A557-97BC-4b89-ADB6-D9C93CAAB3DF}">
      <x14:dataValidations xmlns:xm="http://schemas.microsoft.com/office/excel/2006/main" xWindow="527" yWindow="807" count="2">
        <x14:dataValidation type="list" allowBlank="1" showInputMessage="1" showErrorMessage="1" promptTitle="County" prompt="In the Dropdown Box select the county where your school will be located.">
          <x14:formula1>
            <xm:f>'PCFP Rates'!$O$14:$O$42</xm:f>
          </x14:formula1>
          <xm:sqref>D79:F79</xm:sqref>
        </x14:dataValidation>
        <x14:dataValidation type="list" allowBlank="1" showInputMessage="1" showErrorMessage="1">
          <x14:formula1>
            <xm:f>'PCFP Rates'!$B$105:$B$111</xm:f>
          </x14:formula1>
          <xm:sqref>C51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T132"/>
  <sheetViews>
    <sheetView topLeftCell="A79" workbookViewId="0">
      <selection activeCell="E30" sqref="E30"/>
    </sheetView>
  </sheetViews>
  <sheetFormatPr defaultColWidth="9.140625" defaultRowHeight="15"/>
  <cols>
    <col min="1" max="1" width="4.7109375" style="42" customWidth="1"/>
    <col min="2" max="2" width="28.85546875" style="42" customWidth="1"/>
    <col min="3" max="3" width="12.28515625" style="42" customWidth="1"/>
    <col min="4" max="4" width="11.5703125" style="42" customWidth="1"/>
    <col min="5" max="6" width="13.7109375" style="42" customWidth="1"/>
    <col min="7" max="15" width="12.7109375" style="42" customWidth="1"/>
    <col min="16" max="17" width="11.85546875" style="42" customWidth="1"/>
    <col min="18" max="18" width="2.42578125" style="80" customWidth="1"/>
    <col min="19" max="19" width="3.85546875" style="42" customWidth="1"/>
    <col min="20" max="20" width="58.7109375" style="42" customWidth="1"/>
    <col min="21" max="16384" width="9.140625" style="42"/>
  </cols>
  <sheetData>
    <row r="1" spans="1:20" ht="15.75">
      <c r="A1" s="185" t="s">
        <v>320</v>
      </c>
      <c r="B1" s="185"/>
      <c r="C1" s="45"/>
      <c r="D1" s="640" t="s">
        <v>2</v>
      </c>
      <c r="F1" s="123"/>
      <c r="G1" s="123"/>
      <c r="H1" s="123"/>
      <c r="I1" s="123"/>
      <c r="J1" s="123"/>
      <c r="K1" s="123"/>
      <c r="L1" s="123"/>
      <c r="P1" s="47"/>
    </row>
    <row r="2" spans="1:20" ht="15.75">
      <c r="A2" s="187" t="str">
        <f>SchoolName</f>
        <v>Strong Start Academy Elementary School</v>
      </c>
      <c r="B2" s="187"/>
      <c r="C2" s="48"/>
      <c r="F2" s="123"/>
      <c r="G2" s="123"/>
      <c r="H2" s="123"/>
      <c r="I2" s="123"/>
      <c r="J2" s="123"/>
      <c r="K2" s="123"/>
      <c r="L2" s="123"/>
    </row>
    <row r="3" spans="1:20">
      <c r="A3" s="50" t="s">
        <v>62</v>
      </c>
      <c r="B3" s="50"/>
      <c r="C3" s="50"/>
      <c r="D3" s="50"/>
      <c r="L3" s="123"/>
    </row>
    <row r="4" spans="1:20">
      <c r="A4" s="51" t="s">
        <v>63</v>
      </c>
      <c r="B4" s="51"/>
      <c r="C4" s="51"/>
      <c r="D4" s="51"/>
      <c r="L4" s="123"/>
    </row>
    <row r="5" spans="1:20">
      <c r="A5" s="38" t="str">
        <f ca="1">CELL("filename")</f>
        <v>C:\Users\rsaucedo\OneDrive - City of Las Vegas\CLV Charter School\[Strong Start Academy Elementary School Financial Workbook 2021.xlsx]Incubation</v>
      </c>
      <c r="B5" s="38"/>
      <c r="C5" s="38"/>
      <c r="D5" s="38"/>
      <c r="L5" s="123"/>
    </row>
    <row r="6" spans="1:20">
      <c r="J6" s="73"/>
    </row>
    <row r="7" spans="1:20" ht="18.75">
      <c r="B7" s="120" t="s">
        <v>321</v>
      </c>
      <c r="C7" s="120"/>
      <c r="D7" s="120"/>
      <c r="E7" s="358">
        <f>' Enrol &amp; Rev'!H10</f>
        <v>2022</v>
      </c>
      <c r="F7" s="121" t="s">
        <v>322</v>
      </c>
      <c r="M7" s="13"/>
      <c r="N7" s="13"/>
      <c r="O7" s="13"/>
      <c r="P7" s="13"/>
      <c r="Q7" s="13"/>
    </row>
    <row r="8" spans="1:20">
      <c r="B8" s="122" t="s">
        <v>323</v>
      </c>
      <c r="C8" s="122"/>
      <c r="D8" s="122"/>
      <c r="E8" s="358">
        <f>' Enrol &amp; Rev'!H11</f>
        <v>2023</v>
      </c>
      <c r="F8" s="305" t="s">
        <v>324</v>
      </c>
      <c r="G8" s="124"/>
      <c r="L8" s="124"/>
      <c r="M8" s="124"/>
      <c r="N8" s="124"/>
      <c r="O8" s="124"/>
      <c r="P8" s="124"/>
      <c r="Q8" s="124"/>
    </row>
    <row r="9" spans="1:20">
      <c r="B9" s="122" t="s">
        <v>325</v>
      </c>
      <c r="C9" s="122"/>
      <c r="D9" s="122"/>
      <c r="E9" s="404">
        <v>1.2500000000000001E-2</v>
      </c>
      <c r="F9" s="562" t="s">
        <v>326</v>
      </c>
      <c r="G9" s="124"/>
      <c r="L9" s="124"/>
      <c r="M9" s="124"/>
      <c r="N9" s="124"/>
      <c r="O9" s="124"/>
      <c r="P9" s="124"/>
      <c r="Q9" s="124"/>
    </row>
    <row r="10" spans="1:20">
      <c r="B10" s="123" t="s">
        <v>327</v>
      </c>
      <c r="C10" s="123"/>
      <c r="D10" s="123"/>
      <c r="E10" s="13"/>
      <c r="F10" s="125"/>
      <c r="G10" s="125"/>
      <c r="H10" s="13"/>
      <c r="I10" s="125"/>
      <c r="J10" s="13"/>
      <c r="K10" s="13"/>
      <c r="L10" s="13"/>
      <c r="M10" s="13"/>
      <c r="N10" s="13"/>
      <c r="O10" s="13"/>
      <c r="P10" s="13"/>
      <c r="Q10" s="13"/>
    </row>
    <row r="11" spans="1:20" ht="15" customHeight="1">
      <c r="C11" s="814" t="s">
        <v>328</v>
      </c>
      <c r="D11" s="815"/>
      <c r="E11" s="1175" t="s">
        <v>329</v>
      </c>
      <c r="F11" s="1176" t="s">
        <v>330</v>
      </c>
      <c r="G11" s="1176" t="s">
        <v>330</v>
      </c>
      <c r="H11" s="816" t="s">
        <v>330</v>
      </c>
      <c r="I11" s="1176" t="s">
        <v>330</v>
      </c>
      <c r="J11" s="1176" t="s">
        <v>330</v>
      </c>
      <c r="K11" s="816" t="s">
        <v>330</v>
      </c>
      <c r="L11" s="1176" t="s">
        <v>330</v>
      </c>
      <c r="M11" s="1176" t="s">
        <v>330</v>
      </c>
      <c r="N11" s="816" t="s">
        <v>330</v>
      </c>
      <c r="O11" s="1176" t="s">
        <v>330</v>
      </c>
      <c r="P11" s="1176" t="s">
        <v>330</v>
      </c>
      <c r="Q11" s="817" t="s">
        <v>330</v>
      </c>
    </row>
    <row r="12" spans="1:20">
      <c r="B12" s="16"/>
      <c r="C12" s="1268" t="s">
        <v>331</v>
      </c>
      <c r="D12" s="1269" t="s">
        <v>332</v>
      </c>
      <c r="E12" s="1270">
        <f>+E8</f>
        <v>2023</v>
      </c>
      <c r="F12" s="1271" t="s">
        <v>333</v>
      </c>
      <c r="G12" s="1271" t="s">
        <v>334</v>
      </c>
      <c r="H12" s="1272" t="s">
        <v>335</v>
      </c>
      <c r="I12" s="1271" t="s">
        <v>336</v>
      </c>
      <c r="J12" s="1271" t="s">
        <v>337</v>
      </c>
      <c r="K12" s="1272" t="s">
        <v>338</v>
      </c>
      <c r="L12" s="1271" t="s">
        <v>339</v>
      </c>
      <c r="M12" s="1271" t="s">
        <v>340</v>
      </c>
      <c r="N12" s="1272" t="s">
        <v>341</v>
      </c>
      <c r="O12" s="1271" t="s">
        <v>342</v>
      </c>
      <c r="P12" s="1271" t="s">
        <v>343</v>
      </c>
      <c r="Q12" s="1273" t="s">
        <v>344</v>
      </c>
      <c r="T12" s="571" t="s">
        <v>345</v>
      </c>
    </row>
    <row r="13" spans="1:20">
      <c r="A13" s="546">
        <f>ROW()</f>
        <v>13</v>
      </c>
      <c r="B13" s="1278" t="s">
        <v>346</v>
      </c>
      <c r="C13" s="1278"/>
      <c r="D13" s="1278"/>
      <c r="E13" s="1279"/>
      <c r="F13" s="1280"/>
      <c r="G13" s="1280"/>
      <c r="H13" s="1280"/>
      <c r="I13" s="1280"/>
      <c r="J13" s="1280"/>
      <c r="K13" s="1280"/>
      <c r="L13" s="1280"/>
      <c r="M13" s="1280"/>
      <c r="N13" s="1280"/>
      <c r="O13" s="1280"/>
      <c r="P13" s="1280"/>
      <c r="Q13" s="1280"/>
    </row>
    <row r="14" spans="1:20">
      <c r="A14" s="546">
        <f>ROW()</f>
        <v>14</v>
      </c>
      <c r="B14" s="1323" t="s">
        <v>1226</v>
      </c>
      <c r="C14" s="1274">
        <f>' Enrol &amp; Rev'!H86</f>
        <v>1303682.094</v>
      </c>
      <c r="D14" s="1274">
        <f>+C14-E14</f>
        <v>0</v>
      </c>
      <c r="E14" s="1275">
        <f>SUM(F14:Q14)</f>
        <v>1303682.094</v>
      </c>
      <c r="F14" s="1276">
        <f>(C14/4)*0.75</f>
        <v>244440.39262500001</v>
      </c>
      <c r="G14" s="1277"/>
      <c r="H14" s="1277"/>
      <c r="I14" s="1276">
        <f>+(C14-F14)/3</f>
        <v>353080.567125</v>
      </c>
      <c r="J14" s="1277"/>
      <c r="K14" s="1277"/>
      <c r="L14" s="1277">
        <f>+I14</f>
        <v>353080.567125</v>
      </c>
      <c r="M14" s="1277"/>
      <c r="N14" s="1277"/>
      <c r="O14" s="1277">
        <f>+L14</f>
        <v>353080.567125</v>
      </c>
      <c r="P14" s="1277"/>
      <c r="Q14" s="1277"/>
      <c r="R14" s="150"/>
      <c r="T14" s="541" t="s">
        <v>347</v>
      </c>
    </row>
    <row r="15" spans="1:20">
      <c r="A15" s="546">
        <f>ROW()</f>
        <v>15</v>
      </c>
      <c r="B15" s="1324" t="s">
        <v>1227</v>
      </c>
      <c r="C15" s="834">
        <f>' Enrol &amp; Rev'!H87</f>
        <v>-16296.026175000001</v>
      </c>
      <c r="D15" s="834">
        <f t="shared" ref="D15:D30" si="0">+C15-E15</f>
        <v>0</v>
      </c>
      <c r="E15" s="809">
        <f>SUM(F15:Q15)</f>
        <v>-16296.026174999999</v>
      </c>
      <c r="F15" s="810">
        <f>-0.0125*F14</f>
        <v>-3055.5049078125003</v>
      </c>
      <c r="G15" s="810">
        <f t="shared" ref="G15:Q15" si="1">-0.0125*G14</f>
        <v>0</v>
      </c>
      <c r="H15" s="810">
        <f t="shared" si="1"/>
        <v>0</v>
      </c>
      <c r="I15" s="810">
        <f t="shared" si="1"/>
        <v>-4413.5070890625002</v>
      </c>
      <c r="J15" s="810">
        <f t="shared" si="1"/>
        <v>0</v>
      </c>
      <c r="K15" s="810">
        <f t="shared" si="1"/>
        <v>0</v>
      </c>
      <c r="L15" s="810">
        <f t="shared" si="1"/>
        <v>-4413.5070890625002</v>
      </c>
      <c r="M15" s="810">
        <f t="shared" si="1"/>
        <v>0</v>
      </c>
      <c r="N15" s="810">
        <f t="shared" si="1"/>
        <v>0</v>
      </c>
      <c r="O15" s="810">
        <f t="shared" si="1"/>
        <v>-4413.5070890625002</v>
      </c>
      <c r="P15" s="810">
        <f t="shared" si="1"/>
        <v>0</v>
      </c>
      <c r="Q15" s="810">
        <f t="shared" si="1"/>
        <v>0</v>
      </c>
      <c r="R15" s="150"/>
      <c r="T15" s="541" t="s">
        <v>348</v>
      </c>
    </row>
    <row r="16" spans="1:20">
      <c r="A16" s="546">
        <f>ROW()</f>
        <v>16</v>
      </c>
      <c r="B16" s="1324" t="s">
        <v>128</v>
      </c>
      <c r="C16" s="834">
        <f>' Enrol &amp; Rev'!H92</f>
        <v>52248.888000000014</v>
      </c>
      <c r="D16" s="834">
        <f t="shared" si="0"/>
        <v>18228.888000000014</v>
      </c>
      <c r="E16" s="809">
        <f>SUM(F16:Q16)</f>
        <v>34020</v>
      </c>
      <c r="F16" s="810">
        <v>6378</v>
      </c>
      <c r="G16" s="810"/>
      <c r="H16" s="810"/>
      <c r="I16" s="810">
        <v>9214</v>
      </c>
      <c r="J16" s="810"/>
      <c r="K16" s="810"/>
      <c r="L16" s="810">
        <v>9214</v>
      </c>
      <c r="M16" s="810"/>
      <c r="N16" s="810"/>
      <c r="O16" s="810">
        <v>9214</v>
      </c>
      <c r="P16" s="810"/>
      <c r="Q16" s="810">
        <v>0</v>
      </c>
      <c r="R16" s="150"/>
      <c r="T16" s="541"/>
    </row>
    <row r="17" spans="1:20">
      <c r="A17" s="546">
        <f>ROW()</f>
        <v>17</v>
      </c>
      <c r="B17" s="1324" t="s">
        <v>129</v>
      </c>
      <c r="C17" s="834">
        <f>' Enrol &amp; Rev'!H93</f>
        <v>6716.3400000000011</v>
      </c>
      <c r="D17" s="834">
        <f t="shared" si="0"/>
        <v>-231.65999999999894</v>
      </c>
      <c r="E17" s="809">
        <f>SUM(F17:Q17)</f>
        <v>6948</v>
      </c>
      <c r="F17" s="810">
        <v>1302</v>
      </c>
      <c r="G17" s="810"/>
      <c r="H17" s="810"/>
      <c r="I17" s="810">
        <v>1882</v>
      </c>
      <c r="J17" s="810"/>
      <c r="K17" s="810"/>
      <c r="L17" s="810">
        <v>1882</v>
      </c>
      <c r="M17" s="810"/>
      <c r="N17" s="810"/>
      <c r="O17" s="810">
        <v>1882</v>
      </c>
      <c r="P17" s="810"/>
      <c r="Q17" s="810">
        <v>0</v>
      </c>
      <c r="R17" s="150"/>
      <c r="T17" s="541"/>
    </row>
    <row r="18" spans="1:20">
      <c r="A18" s="546">
        <f>ROW()</f>
        <v>18</v>
      </c>
      <c r="B18" s="1324" t="s">
        <v>130</v>
      </c>
      <c r="C18" s="834">
        <f>' Enrol &amp; Rev'!H94</f>
        <v>9720.0000000000018</v>
      </c>
      <c r="D18" s="834">
        <f t="shared" si="0"/>
        <v>2881.0000000000018</v>
      </c>
      <c r="E18" s="809">
        <f t="shared" ref="E18:E29" si="2">SUM(F18:Q18)</f>
        <v>6839</v>
      </c>
      <c r="F18" s="810">
        <v>1283</v>
      </c>
      <c r="G18" s="810">
        <v>0</v>
      </c>
      <c r="H18" s="810">
        <v>0</v>
      </c>
      <c r="I18" s="810">
        <v>1852</v>
      </c>
      <c r="J18" s="810">
        <v>0</v>
      </c>
      <c r="K18" s="810">
        <v>0</v>
      </c>
      <c r="L18" s="810">
        <v>1852</v>
      </c>
      <c r="M18" s="810">
        <v>0</v>
      </c>
      <c r="N18" s="810">
        <v>0</v>
      </c>
      <c r="O18" s="810">
        <v>1852</v>
      </c>
      <c r="P18" s="810"/>
      <c r="Q18" s="810">
        <v>0</v>
      </c>
      <c r="R18" s="150"/>
      <c r="T18" s="541"/>
    </row>
    <row r="19" spans="1:20">
      <c r="A19" s="546">
        <f>ROW()</f>
        <v>19</v>
      </c>
      <c r="B19" s="1324" t="s">
        <v>132</v>
      </c>
      <c r="C19" s="834">
        <f>' Enrol &amp; Rev'!H96</f>
        <v>24438.996000000006</v>
      </c>
      <c r="D19" s="834">
        <f t="shared" si="0"/>
        <v>-19300.003999999994</v>
      </c>
      <c r="E19" s="809">
        <f t="shared" si="2"/>
        <v>43739</v>
      </c>
      <c r="F19" s="811">
        <v>8201</v>
      </c>
      <c r="G19" s="810">
        <v>0</v>
      </c>
      <c r="H19" s="810">
        <v>0</v>
      </c>
      <c r="I19" s="810">
        <v>11846</v>
      </c>
      <c r="J19" s="810">
        <v>0</v>
      </c>
      <c r="K19" s="810">
        <v>0</v>
      </c>
      <c r="L19" s="810">
        <v>11846</v>
      </c>
      <c r="M19" s="810">
        <v>0</v>
      </c>
      <c r="N19" s="810">
        <v>0</v>
      </c>
      <c r="O19" s="810">
        <v>11846</v>
      </c>
      <c r="P19" s="810">
        <v>0</v>
      </c>
      <c r="Q19" s="810"/>
      <c r="R19" s="150"/>
      <c r="T19" s="541"/>
    </row>
    <row r="20" spans="1:20">
      <c r="A20" s="546">
        <f>ROW()</f>
        <v>20</v>
      </c>
      <c r="B20" s="1324" t="s">
        <v>133</v>
      </c>
      <c r="C20" s="834">
        <f>' Enrol &amp; Rev'!H97</f>
        <v>37922.580000000009</v>
      </c>
      <c r="D20" s="834">
        <f t="shared" si="0"/>
        <v>-38183.419999999991</v>
      </c>
      <c r="E20" s="809">
        <f t="shared" si="2"/>
        <v>76106</v>
      </c>
      <c r="F20" s="811">
        <v>14270</v>
      </c>
      <c r="G20" s="810">
        <v>0</v>
      </c>
      <c r="H20" s="810">
        <v>0</v>
      </c>
      <c r="I20" s="810">
        <v>20612</v>
      </c>
      <c r="J20" s="810">
        <v>0</v>
      </c>
      <c r="K20" s="810">
        <v>0</v>
      </c>
      <c r="L20" s="810">
        <v>20612</v>
      </c>
      <c r="M20" s="810">
        <v>0</v>
      </c>
      <c r="N20" s="810">
        <v>0</v>
      </c>
      <c r="O20" s="810">
        <v>20612</v>
      </c>
      <c r="P20" s="810">
        <v>0</v>
      </c>
      <c r="Q20" s="810"/>
      <c r="R20" s="150"/>
      <c r="T20" s="541"/>
    </row>
    <row r="21" spans="1:20">
      <c r="A21" s="546">
        <f>ROW()</f>
        <v>21</v>
      </c>
      <c r="B21" s="1324" t="s">
        <v>134</v>
      </c>
      <c r="C21" s="834">
        <f>' Enrol &amp; Rev'!H98</f>
        <v>64799.999999999993</v>
      </c>
      <c r="D21" s="834">
        <f t="shared" si="0"/>
        <v>42660.999999999993</v>
      </c>
      <c r="E21" s="809">
        <f t="shared" si="2"/>
        <v>22139</v>
      </c>
      <c r="F21" s="811">
        <v>4151</v>
      </c>
      <c r="G21" s="810"/>
      <c r="H21" s="810"/>
      <c r="I21" s="810">
        <v>5996</v>
      </c>
      <c r="J21" s="811"/>
      <c r="K21" s="810"/>
      <c r="L21" s="810">
        <v>5996</v>
      </c>
      <c r="M21" s="810"/>
      <c r="N21" s="811"/>
      <c r="O21" s="810">
        <v>5996</v>
      </c>
      <c r="P21" s="810"/>
      <c r="Q21" s="810">
        <v>0</v>
      </c>
      <c r="R21" s="150"/>
      <c r="T21" s="541"/>
    </row>
    <row r="22" spans="1:20">
      <c r="A22" s="546">
        <f>ROW()</f>
        <v>22</v>
      </c>
      <c r="B22" s="1324" t="s">
        <v>312</v>
      </c>
      <c r="C22" s="834">
        <f>' Enrol &amp; Rev'!H99</f>
        <v>0</v>
      </c>
      <c r="D22" s="834">
        <f t="shared" si="0"/>
        <v>0</v>
      </c>
      <c r="E22" s="809">
        <f t="shared" si="2"/>
        <v>0</v>
      </c>
      <c r="F22" s="811"/>
      <c r="G22" s="810"/>
      <c r="H22" s="810"/>
      <c r="I22" s="810"/>
      <c r="J22" s="811"/>
      <c r="K22" s="810"/>
      <c r="L22" s="810"/>
      <c r="M22" s="810"/>
      <c r="N22" s="811"/>
      <c r="O22" s="810"/>
      <c r="P22" s="810"/>
      <c r="Q22" s="810">
        <v>0</v>
      </c>
      <c r="R22" s="150"/>
      <c r="T22" s="541"/>
    </row>
    <row r="23" spans="1:20">
      <c r="A23" s="546">
        <f>ROW()</f>
        <v>23</v>
      </c>
      <c r="B23" s="1324" t="s">
        <v>349</v>
      </c>
      <c r="C23" s="834">
        <f>' Enrol &amp; Rev'!H100</f>
        <v>0</v>
      </c>
      <c r="D23" s="834">
        <f t="shared" si="0"/>
        <v>0</v>
      </c>
      <c r="E23" s="809">
        <f t="shared" si="2"/>
        <v>0</v>
      </c>
      <c r="F23" s="811"/>
      <c r="G23" s="810"/>
      <c r="H23" s="810"/>
      <c r="I23" s="810"/>
      <c r="J23" s="811"/>
      <c r="K23" s="810"/>
      <c r="L23" s="810"/>
      <c r="M23" s="810"/>
      <c r="N23" s="811"/>
      <c r="O23" s="810"/>
      <c r="P23" s="810"/>
      <c r="Q23" s="810"/>
      <c r="R23" s="150"/>
      <c r="T23" s="541"/>
    </row>
    <row r="24" spans="1:20">
      <c r="A24" s="546">
        <f>ROW()</f>
        <v>24</v>
      </c>
      <c r="B24" s="1324" t="s">
        <v>350</v>
      </c>
      <c r="C24" s="834">
        <f>' Enrol &amp; Rev'!H101</f>
        <v>500000</v>
      </c>
      <c r="D24" s="834">
        <f t="shared" si="0"/>
        <v>500000</v>
      </c>
      <c r="E24" s="809">
        <f t="shared" si="2"/>
        <v>0</v>
      </c>
      <c r="F24" s="811"/>
      <c r="G24" s="810"/>
      <c r="H24" s="810"/>
      <c r="I24" s="810"/>
      <c r="J24" s="811"/>
      <c r="K24" s="810"/>
      <c r="L24" s="810"/>
      <c r="M24" s="810"/>
      <c r="N24" s="811"/>
      <c r="O24" s="810"/>
      <c r="P24" s="810"/>
      <c r="Q24" s="810"/>
      <c r="R24" s="150"/>
      <c r="T24" s="541"/>
    </row>
    <row r="25" spans="1:20">
      <c r="A25" s="546">
        <f>ROW()</f>
        <v>25</v>
      </c>
      <c r="B25" s="1324" t="s">
        <v>142</v>
      </c>
      <c r="C25" s="834">
        <f>' Enrol &amp; Rev'!H102</f>
        <v>0</v>
      </c>
      <c r="D25" s="834">
        <f t="shared" si="0"/>
        <v>0</v>
      </c>
      <c r="E25" s="809">
        <f t="shared" si="2"/>
        <v>0</v>
      </c>
      <c r="F25" s="811"/>
      <c r="G25" s="810"/>
      <c r="H25" s="810"/>
      <c r="I25" s="810"/>
      <c r="J25" s="811"/>
      <c r="K25" s="810"/>
      <c r="L25" s="810"/>
      <c r="M25" s="810"/>
      <c r="N25" s="811"/>
      <c r="O25" s="810"/>
      <c r="P25" s="810"/>
      <c r="Q25" s="810"/>
      <c r="R25" s="150"/>
      <c r="T25" s="541"/>
    </row>
    <row r="26" spans="1:20">
      <c r="A26" s="546">
        <f>ROW()</f>
        <v>26</v>
      </c>
      <c r="B26" s="1324" t="s">
        <v>351</v>
      </c>
      <c r="C26" s="834">
        <f>' Enrol &amp; Rev'!H103</f>
        <v>0</v>
      </c>
      <c r="D26" s="834">
        <f t="shared" si="0"/>
        <v>0</v>
      </c>
      <c r="E26" s="809">
        <f t="shared" si="2"/>
        <v>0</v>
      </c>
      <c r="F26" s="811"/>
      <c r="G26" s="810">
        <v>0</v>
      </c>
      <c r="H26" s="810">
        <v>0</v>
      </c>
      <c r="I26" s="810">
        <v>0</v>
      </c>
      <c r="J26" s="810">
        <v>0</v>
      </c>
      <c r="K26" s="810">
        <v>0</v>
      </c>
      <c r="L26" s="810">
        <v>0</v>
      </c>
      <c r="M26" s="810">
        <v>0</v>
      </c>
      <c r="N26" s="810">
        <v>0</v>
      </c>
      <c r="O26" s="810">
        <v>0</v>
      </c>
      <c r="P26" s="810">
        <v>0</v>
      </c>
      <c r="Q26" s="810"/>
      <c r="R26" s="150"/>
      <c r="T26" s="541"/>
    </row>
    <row r="27" spans="1:20">
      <c r="A27" s="546">
        <f>ROW()</f>
        <v>27</v>
      </c>
      <c r="B27" s="1324" t="s">
        <v>141</v>
      </c>
      <c r="C27" s="834">
        <f>' Enrol &amp; Rev'!H106</f>
        <v>0</v>
      </c>
      <c r="D27" s="834">
        <f t="shared" si="0"/>
        <v>0</v>
      </c>
      <c r="E27" s="809">
        <f t="shared" si="2"/>
        <v>0</v>
      </c>
      <c r="F27" s="811"/>
      <c r="G27" s="810"/>
      <c r="H27" s="810"/>
      <c r="I27" s="810"/>
      <c r="J27" s="811"/>
      <c r="K27" s="810"/>
      <c r="L27" s="810"/>
      <c r="M27" s="810"/>
      <c r="N27" s="811"/>
      <c r="O27" s="810"/>
      <c r="P27" s="810"/>
      <c r="Q27" s="810"/>
      <c r="R27" s="150"/>
      <c r="T27" s="541"/>
    </row>
    <row r="28" spans="1:20">
      <c r="A28" s="546">
        <f>ROW()</f>
        <v>28</v>
      </c>
      <c r="B28" s="1324" t="s">
        <v>352</v>
      </c>
      <c r="C28" s="809">
        <f>' Enrol &amp; Rev'!H107</f>
        <v>0</v>
      </c>
      <c r="D28" s="809">
        <f t="shared" si="0"/>
        <v>0</v>
      </c>
      <c r="E28" s="809">
        <f t="shared" si="2"/>
        <v>0</v>
      </c>
      <c r="F28" s="811"/>
      <c r="G28" s="810">
        <v>0</v>
      </c>
      <c r="H28" s="810">
        <v>0</v>
      </c>
      <c r="I28" s="810"/>
      <c r="J28" s="811"/>
      <c r="K28" s="810"/>
      <c r="L28" s="810"/>
      <c r="M28" s="810"/>
      <c r="N28" s="811"/>
      <c r="O28" s="810"/>
      <c r="P28" s="810"/>
      <c r="Q28" s="810"/>
      <c r="R28" s="150"/>
      <c r="T28" s="541"/>
    </row>
    <row r="29" spans="1:20">
      <c r="A29" s="546">
        <f>ROW()</f>
        <v>29</v>
      </c>
      <c r="B29" s="1325" t="s">
        <v>353</v>
      </c>
      <c r="C29" s="812">
        <f>+' Enrol &amp; Rev'!H108</f>
        <v>265330</v>
      </c>
      <c r="D29" s="831">
        <f t="shared" si="0"/>
        <v>265330</v>
      </c>
      <c r="E29" s="831">
        <f t="shared" si="2"/>
        <v>0</v>
      </c>
      <c r="F29" s="1267">
        <v>0</v>
      </c>
      <c r="G29" s="832"/>
      <c r="H29" s="832"/>
      <c r="I29" s="832"/>
      <c r="J29" s="832"/>
      <c r="K29" s="832"/>
      <c r="L29" s="832">
        <v>0</v>
      </c>
      <c r="M29" s="832"/>
      <c r="N29" s="832"/>
      <c r="O29" s="832"/>
      <c r="P29" s="832"/>
      <c r="Q29" s="832"/>
      <c r="R29" s="150"/>
      <c r="T29" s="541"/>
    </row>
    <row r="30" spans="1:20">
      <c r="A30" s="546">
        <f>ROW()</f>
        <v>30</v>
      </c>
      <c r="B30" s="1326" t="s">
        <v>354</v>
      </c>
      <c r="C30" s="828">
        <f>+' Enrol &amp; Rev'!H109</f>
        <v>2248562.8718250003</v>
      </c>
      <c r="D30" s="828">
        <f t="shared" si="0"/>
        <v>771385.80400000024</v>
      </c>
      <c r="E30" s="829">
        <f t="shared" ref="E30:Q30" si="3">SUM(E14:E29)</f>
        <v>1477177.067825</v>
      </c>
      <c r="F30" s="828">
        <f t="shared" si="3"/>
        <v>276969.88771718752</v>
      </c>
      <c r="G30" s="828">
        <f t="shared" si="3"/>
        <v>0</v>
      </c>
      <c r="H30" s="828">
        <f t="shared" si="3"/>
        <v>0</v>
      </c>
      <c r="I30" s="828">
        <f t="shared" si="3"/>
        <v>400069.06003593752</v>
      </c>
      <c r="J30" s="828">
        <f t="shared" si="3"/>
        <v>0</v>
      </c>
      <c r="K30" s="828">
        <f t="shared" si="3"/>
        <v>0</v>
      </c>
      <c r="L30" s="828">
        <f t="shared" si="3"/>
        <v>400069.06003593752</v>
      </c>
      <c r="M30" s="828">
        <f t="shared" si="3"/>
        <v>0</v>
      </c>
      <c r="N30" s="828">
        <f t="shared" si="3"/>
        <v>0</v>
      </c>
      <c r="O30" s="828">
        <f t="shared" si="3"/>
        <v>400069.06003593752</v>
      </c>
      <c r="P30" s="828">
        <f t="shared" si="3"/>
        <v>0</v>
      </c>
      <c r="Q30" s="830">
        <f t="shared" si="3"/>
        <v>0</v>
      </c>
      <c r="T30" s="541"/>
    </row>
    <row r="31" spans="1:20">
      <c r="A31" s="546">
        <f>ROW()</f>
        <v>31</v>
      </c>
      <c r="B31" s="16" t="s">
        <v>355</v>
      </c>
      <c r="C31" s="16"/>
      <c r="D31" s="818" t="str">
        <f>IF(ABS(D30)&gt;(0.0025*E30),"Var",0)</f>
        <v>Var</v>
      </c>
      <c r="E31" s="819"/>
      <c r="F31" s="819">
        <f>F30</f>
        <v>276969.88771718752</v>
      </c>
      <c r="G31" s="820">
        <f t="shared" ref="G31:Q31" si="4">F31+G30</f>
        <v>276969.88771718752</v>
      </c>
      <c r="H31" s="820">
        <f t="shared" si="4"/>
        <v>276969.88771718752</v>
      </c>
      <c r="I31" s="820">
        <f t="shared" si="4"/>
        <v>677038.9477531251</v>
      </c>
      <c r="J31" s="820">
        <f t="shared" si="4"/>
        <v>677038.9477531251</v>
      </c>
      <c r="K31" s="820">
        <f t="shared" si="4"/>
        <v>677038.9477531251</v>
      </c>
      <c r="L31" s="820">
        <f t="shared" si="4"/>
        <v>1077108.0077890626</v>
      </c>
      <c r="M31" s="820">
        <f t="shared" si="4"/>
        <v>1077108.0077890626</v>
      </c>
      <c r="N31" s="820">
        <f t="shared" si="4"/>
        <v>1077108.0077890626</v>
      </c>
      <c r="O31" s="820">
        <f t="shared" si="4"/>
        <v>1477177.067825</v>
      </c>
      <c r="P31" s="820">
        <f t="shared" si="4"/>
        <v>1477177.067825</v>
      </c>
      <c r="Q31" s="820">
        <f t="shared" si="4"/>
        <v>1477177.067825</v>
      </c>
      <c r="T31" s="541"/>
    </row>
    <row r="32" spans="1:20">
      <c r="A32" s="546">
        <f>ROW()</f>
        <v>32</v>
      </c>
      <c r="B32" s="17" t="s">
        <v>356</v>
      </c>
      <c r="C32" s="17"/>
      <c r="D32" s="821"/>
      <c r="E32" s="822"/>
      <c r="F32" s="823">
        <f>IFERROR(F31/$E30,0)</f>
        <v>0.18749944996438295</v>
      </c>
      <c r="G32" s="823">
        <f t="shared" ref="G32:Q32" si="5">IFERROR(G31/$E30,0)</f>
        <v>0.18749944996438295</v>
      </c>
      <c r="H32" s="823">
        <f t="shared" si="5"/>
        <v>0.18749944996438295</v>
      </c>
      <c r="I32" s="823">
        <f t="shared" si="5"/>
        <v>0.458332966642922</v>
      </c>
      <c r="J32" s="823">
        <f t="shared" si="5"/>
        <v>0.458332966642922</v>
      </c>
      <c r="K32" s="823">
        <f t="shared" si="5"/>
        <v>0.458332966642922</v>
      </c>
      <c r="L32" s="823">
        <f t="shared" si="5"/>
        <v>0.72916648332146106</v>
      </c>
      <c r="M32" s="823">
        <f t="shared" si="5"/>
        <v>0.72916648332146106</v>
      </c>
      <c r="N32" s="823">
        <f t="shared" si="5"/>
        <v>0.72916648332146106</v>
      </c>
      <c r="O32" s="823">
        <f t="shared" si="5"/>
        <v>1</v>
      </c>
      <c r="P32" s="823">
        <f t="shared" si="5"/>
        <v>1</v>
      </c>
      <c r="Q32" s="823">
        <f t="shared" si="5"/>
        <v>1</v>
      </c>
      <c r="T32" s="541"/>
    </row>
    <row r="33" spans="1:20">
      <c r="A33" s="546">
        <f>ROW()</f>
        <v>33</v>
      </c>
      <c r="B33" s="13"/>
      <c r="C33" s="13"/>
      <c r="D33" s="822"/>
      <c r="E33" s="822"/>
      <c r="F33" s="824"/>
      <c r="G33" s="825"/>
      <c r="H33" s="825"/>
      <c r="I33" s="825"/>
      <c r="J33" s="824"/>
      <c r="K33" s="825"/>
      <c r="L33" s="825"/>
      <c r="M33" s="825"/>
      <c r="N33" s="824"/>
      <c r="O33" s="825"/>
      <c r="P33" s="825"/>
      <c r="Q33" s="825"/>
      <c r="T33" s="541"/>
    </row>
    <row r="34" spans="1:20" ht="14.25" customHeight="1">
      <c r="A34" s="546">
        <f>ROW()</f>
        <v>34</v>
      </c>
      <c r="B34" s="1281" t="s">
        <v>357</v>
      </c>
      <c r="C34" s="1281"/>
      <c r="D34" s="1281"/>
      <c r="E34" s="1282"/>
      <c r="F34" s="1283"/>
      <c r="G34" s="1283"/>
      <c r="H34" s="1283"/>
      <c r="I34" s="1283"/>
      <c r="J34" s="1283"/>
      <c r="K34" s="1283"/>
      <c r="L34" s="1283"/>
      <c r="M34" s="1283"/>
      <c r="N34" s="1283"/>
      <c r="O34" s="1283"/>
      <c r="P34" s="1283"/>
      <c r="Q34" s="1283"/>
      <c r="T34" s="541"/>
    </row>
    <row r="35" spans="1:20">
      <c r="A35" s="546">
        <f>ROW()</f>
        <v>35</v>
      </c>
      <c r="B35" s="1263" t="s">
        <v>358</v>
      </c>
      <c r="C35" s="1264">
        <f>+Staff!H445</f>
        <v>1274860.1599999999</v>
      </c>
      <c r="D35" s="1265">
        <f t="shared" ref="D35:D46" si="6">+C35-E35</f>
        <v>-99250.040000000037</v>
      </c>
      <c r="E35" s="1264">
        <f t="shared" ref="E35:E45" si="7">SUM(F35:Q35)</f>
        <v>1374110.2</v>
      </c>
      <c r="F35" s="1266">
        <v>0</v>
      </c>
      <c r="G35" s="1266">
        <v>137411.20000000001</v>
      </c>
      <c r="H35" s="1266">
        <v>137411</v>
      </c>
      <c r="I35" s="1266">
        <v>137411</v>
      </c>
      <c r="J35" s="1266">
        <v>137411</v>
      </c>
      <c r="K35" s="1266">
        <v>137411</v>
      </c>
      <c r="L35" s="1266">
        <v>137411</v>
      </c>
      <c r="M35" s="1266">
        <v>137411</v>
      </c>
      <c r="N35" s="1266">
        <v>137411</v>
      </c>
      <c r="O35" s="1266">
        <v>137411</v>
      </c>
      <c r="P35" s="1266">
        <v>137411</v>
      </c>
      <c r="Q35" s="1266"/>
      <c r="T35" s="541"/>
    </row>
    <row r="36" spans="1:20">
      <c r="A36" s="546">
        <f>ROW()</f>
        <v>36</v>
      </c>
      <c r="B36" s="1260" t="s">
        <v>359</v>
      </c>
      <c r="C36" s="834">
        <f>'Gen Optg'!G102</f>
        <v>165779</v>
      </c>
      <c r="D36" s="834">
        <f t="shared" si="6"/>
        <v>77619</v>
      </c>
      <c r="E36" s="809">
        <f>SUM(F36:Q36)</f>
        <v>88160</v>
      </c>
      <c r="F36" s="810">
        <v>0</v>
      </c>
      <c r="G36" s="810">
        <v>8816</v>
      </c>
      <c r="H36" s="810">
        <v>8816</v>
      </c>
      <c r="I36" s="810">
        <v>8816</v>
      </c>
      <c r="J36" s="810">
        <v>8816</v>
      </c>
      <c r="K36" s="810">
        <v>8816</v>
      </c>
      <c r="L36" s="810">
        <v>8816</v>
      </c>
      <c r="M36" s="810">
        <v>8816</v>
      </c>
      <c r="N36" s="810">
        <v>8816</v>
      </c>
      <c r="O36" s="810">
        <v>8816</v>
      </c>
      <c r="P36" s="810">
        <v>8816</v>
      </c>
      <c r="Q36" s="810">
        <v>0</v>
      </c>
      <c r="T36" s="541"/>
    </row>
    <row r="37" spans="1:20">
      <c r="A37" s="546">
        <f>ROW()</f>
        <v>37</v>
      </c>
      <c r="B37" s="1260" t="s">
        <v>360</v>
      </c>
      <c r="C37" s="834">
        <f>+'Gen Optg'!G110</f>
        <v>25000</v>
      </c>
      <c r="D37" s="834">
        <f t="shared" si="6"/>
        <v>4</v>
      </c>
      <c r="E37" s="809">
        <f t="shared" si="7"/>
        <v>24996</v>
      </c>
      <c r="F37" s="810">
        <v>2083</v>
      </c>
      <c r="G37" s="810">
        <v>2083</v>
      </c>
      <c r="H37" s="810">
        <v>2083</v>
      </c>
      <c r="I37" s="810">
        <v>2083</v>
      </c>
      <c r="J37" s="810">
        <v>2083</v>
      </c>
      <c r="K37" s="810">
        <v>2083</v>
      </c>
      <c r="L37" s="810">
        <v>2083</v>
      </c>
      <c r="M37" s="810">
        <v>2083</v>
      </c>
      <c r="N37" s="810">
        <v>2083</v>
      </c>
      <c r="O37" s="810">
        <v>2083</v>
      </c>
      <c r="P37" s="810">
        <v>2083</v>
      </c>
      <c r="Q37" s="810">
        <v>2083</v>
      </c>
      <c r="T37" s="541"/>
    </row>
    <row r="38" spans="1:20">
      <c r="A38" s="546">
        <f>ROW()</f>
        <v>38</v>
      </c>
      <c r="B38" s="1260" t="s">
        <v>361</v>
      </c>
      <c r="C38" s="834">
        <f>'Gen Optg'!G146+'Gen Optg'!G118</f>
        <v>119880</v>
      </c>
      <c r="D38" s="834">
        <f t="shared" si="6"/>
        <v>0</v>
      </c>
      <c r="E38" s="809">
        <f t="shared" si="7"/>
        <v>119880</v>
      </c>
      <c r="F38" s="810">
        <v>0</v>
      </c>
      <c r="G38" s="810">
        <v>11988</v>
      </c>
      <c r="H38" s="810">
        <v>11988</v>
      </c>
      <c r="I38" s="810">
        <v>11988</v>
      </c>
      <c r="J38" s="810">
        <v>11988</v>
      </c>
      <c r="K38" s="810">
        <v>11988</v>
      </c>
      <c r="L38" s="810">
        <v>11988</v>
      </c>
      <c r="M38" s="810">
        <v>11988</v>
      </c>
      <c r="N38" s="810">
        <v>11988</v>
      </c>
      <c r="O38" s="810">
        <v>11988</v>
      </c>
      <c r="P38" s="810">
        <v>11988</v>
      </c>
      <c r="Q38" s="810">
        <v>0</v>
      </c>
      <c r="T38" s="541"/>
    </row>
    <row r="39" spans="1:20">
      <c r="A39" s="546">
        <f>ROW()</f>
        <v>39</v>
      </c>
      <c r="B39" s="1261" t="s">
        <v>362</v>
      </c>
      <c r="C39" s="834">
        <f>'Gen Optg'!G159</f>
        <v>0</v>
      </c>
      <c r="D39" s="834">
        <f t="shared" si="6"/>
        <v>0</v>
      </c>
      <c r="E39" s="809">
        <f t="shared" si="7"/>
        <v>0</v>
      </c>
      <c r="F39" s="810">
        <v>0</v>
      </c>
      <c r="G39" s="810"/>
      <c r="H39" s="810">
        <v>0</v>
      </c>
      <c r="I39" s="810">
        <v>0</v>
      </c>
      <c r="J39" s="810">
        <v>0</v>
      </c>
      <c r="K39" s="810">
        <v>0</v>
      </c>
      <c r="L39" s="810">
        <v>0</v>
      </c>
      <c r="M39" s="810">
        <v>0</v>
      </c>
      <c r="N39" s="810">
        <v>0</v>
      </c>
      <c r="O39" s="810">
        <v>0</v>
      </c>
      <c r="P39" s="810">
        <v>0</v>
      </c>
      <c r="Q39" s="810">
        <v>0</v>
      </c>
      <c r="T39" s="541"/>
    </row>
    <row r="40" spans="1:20">
      <c r="A40" s="546">
        <f>ROW()</f>
        <v>40</v>
      </c>
      <c r="B40" s="1261" t="s">
        <v>363</v>
      </c>
      <c r="C40" s="834">
        <f>+'Gen Optg'!G161</f>
        <v>9319.7700000000077</v>
      </c>
      <c r="D40" s="834">
        <f>+C40</f>
        <v>9319.7700000000077</v>
      </c>
      <c r="E40" s="809">
        <f>+'Gen Optg'!G161</f>
        <v>9319.7700000000077</v>
      </c>
      <c r="F40" s="810"/>
      <c r="G40" s="810"/>
      <c r="H40" s="810"/>
      <c r="I40" s="810"/>
      <c r="J40" s="810"/>
      <c r="K40" s="810"/>
      <c r="L40" s="810"/>
      <c r="M40" s="810"/>
      <c r="N40" s="810"/>
      <c r="O40" s="810"/>
      <c r="P40" s="810"/>
      <c r="Q40" s="810"/>
      <c r="T40" s="541"/>
    </row>
    <row r="41" spans="1:20">
      <c r="A41" s="546">
        <f>ROW()</f>
        <v>41</v>
      </c>
      <c r="B41" s="1262" t="s">
        <v>104</v>
      </c>
      <c r="C41" s="834">
        <f>Marketing!I44</f>
        <v>2000</v>
      </c>
      <c r="D41" s="834">
        <f t="shared" si="6"/>
        <v>0</v>
      </c>
      <c r="E41" s="809">
        <f t="shared" si="7"/>
        <v>2000</v>
      </c>
      <c r="F41" s="810">
        <v>2000</v>
      </c>
      <c r="G41" s="810">
        <v>0</v>
      </c>
      <c r="H41" s="810">
        <v>0</v>
      </c>
      <c r="I41" s="810">
        <v>0</v>
      </c>
      <c r="J41" s="810">
        <v>0</v>
      </c>
      <c r="K41" s="810">
        <v>0</v>
      </c>
      <c r="L41" s="810">
        <v>0</v>
      </c>
      <c r="M41" s="810">
        <v>0</v>
      </c>
      <c r="N41" s="810">
        <v>0</v>
      </c>
      <c r="O41" s="810">
        <v>0</v>
      </c>
      <c r="P41" s="810">
        <v>0</v>
      </c>
      <c r="Q41" s="810">
        <v>0</v>
      </c>
      <c r="T41" s="541"/>
    </row>
    <row r="42" spans="1:20">
      <c r="A42" s="546">
        <f>ROW()</f>
        <v>42</v>
      </c>
      <c r="B42" s="1260" t="s">
        <v>364</v>
      </c>
      <c r="C42" s="834">
        <f>Facilities!G68</f>
        <v>232331.30000000002</v>
      </c>
      <c r="D42" s="834">
        <f t="shared" si="6"/>
        <v>10.300000000017462</v>
      </c>
      <c r="E42" s="809">
        <f t="shared" si="7"/>
        <v>232321</v>
      </c>
      <c r="F42" s="810">
        <v>19361</v>
      </c>
      <c r="G42" s="810">
        <v>19360</v>
      </c>
      <c r="H42" s="810">
        <v>19360</v>
      </c>
      <c r="I42" s="810">
        <v>19360</v>
      </c>
      <c r="J42" s="810">
        <v>19360</v>
      </c>
      <c r="K42" s="810">
        <v>19360</v>
      </c>
      <c r="L42" s="810">
        <v>19360</v>
      </c>
      <c r="M42" s="810">
        <v>19360</v>
      </c>
      <c r="N42" s="810">
        <v>19360</v>
      </c>
      <c r="O42" s="810">
        <v>19360</v>
      </c>
      <c r="P42" s="810">
        <v>19360</v>
      </c>
      <c r="Q42" s="810">
        <v>19360</v>
      </c>
      <c r="T42" s="541"/>
    </row>
    <row r="43" spans="1:20">
      <c r="A43" s="546">
        <f>ROW()</f>
        <v>43</v>
      </c>
      <c r="B43" s="1261" t="s">
        <v>365</v>
      </c>
      <c r="C43" s="834">
        <f>Facilities!G94</f>
        <v>0</v>
      </c>
      <c r="D43" s="834"/>
      <c r="E43" s="809">
        <f>SUM(F43:Q43)</f>
        <v>0</v>
      </c>
      <c r="F43" s="810">
        <v>0</v>
      </c>
      <c r="G43" s="810">
        <v>0</v>
      </c>
      <c r="H43" s="810">
        <v>0</v>
      </c>
      <c r="I43" s="810">
        <v>0</v>
      </c>
      <c r="J43" s="810">
        <v>0</v>
      </c>
      <c r="K43" s="810">
        <v>0</v>
      </c>
      <c r="L43" s="810">
        <v>0</v>
      </c>
      <c r="M43" s="810">
        <v>0</v>
      </c>
      <c r="N43" s="810">
        <v>0</v>
      </c>
      <c r="O43" s="810">
        <v>0</v>
      </c>
      <c r="P43" s="810">
        <v>0</v>
      </c>
      <c r="Q43" s="810">
        <v>0</v>
      </c>
      <c r="T43" s="541"/>
    </row>
    <row r="44" spans="1:20">
      <c r="A44" s="546">
        <f>ROW()</f>
        <v>44</v>
      </c>
      <c r="B44" s="1261" t="s">
        <v>100</v>
      </c>
      <c r="C44" s="834">
        <f>+'FFE&amp;T'!G38</f>
        <v>230980</v>
      </c>
      <c r="D44" s="834">
        <f t="shared" si="6"/>
        <v>-2780</v>
      </c>
      <c r="E44" s="809">
        <f t="shared" si="7"/>
        <v>233760</v>
      </c>
      <c r="F44" s="810">
        <v>206940</v>
      </c>
      <c r="G44" s="810">
        <v>2682</v>
      </c>
      <c r="H44" s="810">
        <v>2682</v>
      </c>
      <c r="I44" s="810">
        <v>2682</v>
      </c>
      <c r="J44" s="810">
        <v>2682</v>
      </c>
      <c r="K44" s="810">
        <v>2682</v>
      </c>
      <c r="L44" s="810">
        <v>2682</v>
      </c>
      <c r="M44" s="810">
        <v>2682</v>
      </c>
      <c r="N44" s="810">
        <v>2682</v>
      </c>
      <c r="O44" s="810">
        <v>2682</v>
      </c>
      <c r="P44" s="810">
        <v>2682</v>
      </c>
      <c r="Q44" s="810">
        <v>0</v>
      </c>
      <c r="T44" s="541"/>
    </row>
    <row r="45" spans="1:20">
      <c r="A45" s="546"/>
      <c r="B45" s="1261" t="s">
        <v>108</v>
      </c>
      <c r="C45" s="834">
        <f>'EMO-CMO'!F38</f>
        <v>0</v>
      </c>
      <c r="D45" s="834">
        <f t="shared" si="6"/>
        <v>0</v>
      </c>
      <c r="E45" s="809">
        <f t="shared" si="7"/>
        <v>0</v>
      </c>
      <c r="F45" s="810">
        <v>0</v>
      </c>
      <c r="G45" s="810"/>
      <c r="H45" s="810"/>
      <c r="I45" s="810"/>
      <c r="J45" s="810"/>
      <c r="K45" s="810"/>
      <c r="L45" s="810"/>
      <c r="M45" s="810"/>
      <c r="N45" s="810"/>
      <c r="O45" s="810"/>
      <c r="P45" s="810"/>
      <c r="Q45" s="810"/>
      <c r="T45" s="541"/>
    </row>
    <row r="46" spans="1:20">
      <c r="A46" s="546">
        <f t="shared" ref="A46:A66" si="8">ROW()-12</f>
        <v>34</v>
      </c>
      <c r="B46" s="1259" t="s">
        <v>151</v>
      </c>
      <c r="C46" s="1258">
        <f>+Ins!G50</f>
        <v>23639.52</v>
      </c>
      <c r="D46" s="812">
        <f t="shared" si="6"/>
        <v>-0.47999999999956344</v>
      </c>
      <c r="E46" s="812">
        <f>SUM(F46:Q46)</f>
        <v>23640</v>
      </c>
      <c r="F46" s="813">
        <v>1970</v>
      </c>
      <c r="G46" s="813">
        <v>1970</v>
      </c>
      <c r="H46" s="813">
        <v>1970</v>
      </c>
      <c r="I46" s="813">
        <v>1970</v>
      </c>
      <c r="J46" s="813">
        <v>1970</v>
      </c>
      <c r="K46" s="813">
        <v>1970</v>
      </c>
      <c r="L46" s="813">
        <v>1970</v>
      </c>
      <c r="M46" s="813">
        <v>1970</v>
      </c>
      <c r="N46" s="813">
        <v>1970</v>
      </c>
      <c r="O46" s="813">
        <v>1970</v>
      </c>
      <c r="P46" s="813">
        <v>1970</v>
      </c>
      <c r="Q46" s="813">
        <v>1970</v>
      </c>
      <c r="T46" s="541"/>
    </row>
    <row r="47" spans="1:20">
      <c r="A47" s="546">
        <f t="shared" si="8"/>
        <v>35</v>
      </c>
      <c r="B47" s="1326" t="s">
        <v>366</v>
      </c>
      <c r="C47" s="1327">
        <f t="shared" ref="C47:Q47" si="9">SUM(C35:C46)</f>
        <v>2083789.75</v>
      </c>
      <c r="D47" s="1328">
        <f t="shared" si="9"/>
        <v>-15077.450000000012</v>
      </c>
      <c r="E47" s="1328">
        <f t="shared" si="9"/>
        <v>2108186.9699999997</v>
      </c>
      <c r="F47" s="1328">
        <f t="shared" si="9"/>
        <v>232354</v>
      </c>
      <c r="G47" s="1328">
        <f t="shared" si="9"/>
        <v>184310.2</v>
      </c>
      <c r="H47" s="1328">
        <f t="shared" si="9"/>
        <v>184310</v>
      </c>
      <c r="I47" s="1328">
        <f t="shared" si="9"/>
        <v>184310</v>
      </c>
      <c r="J47" s="1328">
        <f t="shared" si="9"/>
        <v>184310</v>
      </c>
      <c r="K47" s="1328">
        <f t="shared" si="9"/>
        <v>184310</v>
      </c>
      <c r="L47" s="1328">
        <f t="shared" si="9"/>
        <v>184310</v>
      </c>
      <c r="M47" s="1328">
        <f t="shared" si="9"/>
        <v>184310</v>
      </c>
      <c r="N47" s="1328">
        <f t="shared" si="9"/>
        <v>184310</v>
      </c>
      <c r="O47" s="1328">
        <f t="shared" si="9"/>
        <v>184310</v>
      </c>
      <c r="P47" s="1328">
        <f t="shared" si="9"/>
        <v>184310</v>
      </c>
      <c r="Q47" s="1328">
        <f t="shared" si="9"/>
        <v>23413</v>
      </c>
      <c r="T47" s="541"/>
    </row>
    <row r="48" spans="1:20">
      <c r="A48" s="546">
        <f t="shared" si="8"/>
        <v>36</v>
      </c>
      <c r="B48" s="1329" t="s">
        <v>367</v>
      </c>
      <c r="C48" s="1484">
        <f>+Summary!G45-C47</f>
        <v>0</v>
      </c>
      <c r="D48" s="1485"/>
      <c r="E48" s="75">
        <f>SUM(F48:Q48)</f>
        <v>-621690.13217499992</v>
      </c>
      <c r="F48" s="75">
        <f t="shared" ref="F48:Q48" si="10">F30-F47</f>
        <v>44615.887717187521</v>
      </c>
      <c r="G48" s="75">
        <f t="shared" si="10"/>
        <v>-184310.2</v>
      </c>
      <c r="H48" s="75">
        <f t="shared" si="10"/>
        <v>-184310</v>
      </c>
      <c r="I48" s="75">
        <f t="shared" si="10"/>
        <v>215759.06003593752</v>
      </c>
      <c r="J48" s="75">
        <f t="shared" si="10"/>
        <v>-184310</v>
      </c>
      <c r="K48" s="75">
        <f t="shared" si="10"/>
        <v>-184310</v>
      </c>
      <c r="L48" s="75">
        <f t="shared" si="10"/>
        <v>215759.06003593752</v>
      </c>
      <c r="M48" s="75">
        <f t="shared" si="10"/>
        <v>-184310</v>
      </c>
      <c r="N48" s="75">
        <f t="shared" si="10"/>
        <v>-184310</v>
      </c>
      <c r="O48" s="75">
        <f t="shared" si="10"/>
        <v>215759.06003593752</v>
      </c>
      <c r="P48" s="75">
        <f t="shared" si="10"/>
        <v>-184310</v>
      </c>
      <c r="Q48" s="75">
        <f t="shared" si="10"/>
        <v>-23413</v>
      </c>
      <c r="T48" s="541"/>
    </row>
    <row r="49" spans="1:20">
      <c r="A49" s="546">
        <f t="shared" si="8"/>
        <v>37</v>
      </c>
      <c r="B49" s="16" t="s">
        <v>368</v>
      </c>
      <c r="C49" s="16"/>
      <c r="D49" s="836"/>
      <c r="E49" s="836"/>
      <c r="F49" s="837">
        <f>F47</f>
        <v>232354</v>
      </c>
      <c r="G49" s="837">
        <f t="shared" ref="G49:Q49" si="11">F49+G47</f>
        <v>416664.2</v>
      </c>
      <c r="H49" s="837">
        <f t="shared" si="11"/>
        <v>600974.19999999995</v>
      </c>
      <c r="I49" s="837">
        <f t="shared" si="11"/>
        <v>785284.2</v>
      </c>
      <c r="J49" s="837">
        <f t="shared" si="11"/>
        <v>969594.2</v>
      </c>
      <c r="K49" s="837">
        <f t="shared" si="11"/>
        <v>1153904.2</v>
      </c>
      <c r="L49" s="837">
        <f t="shared" si="11"/>
        <v>1338214.2</v>
      </c>
      <c r="M49" s="837">
        <f t="shared" si="11"/>
        <v>1522524.2</v>
      </c>
      <c r="N49" s="837">
        <f t="shared" si="11"/>
        <v>1706834.2</v>
      </c>
      <c r="O49" s="837">
        <f t="shared" si="11"/>
        <v>1891144.2</v>
      </c>
      <c r="P49" s="837">
        <f t="shared" si="11"/>
        <v>2075454.2</v>
      </c>
      <c r="Q49" s="837">
        <f t="shared" si="11"/>
        <v>2098867.2000000002</v>
      </c>
      <c r="T49" s="541"/>
    </row>
    <row r="50" spans="1:20">
      <c r="A50" s="546">
        <f t="shared" si="8"/>
        <v>38</v>
      </c>
      <c r="B50" s="17" t="s">
        <v>369</v>
      </c>
      <c r="C50" s="17"/>
      <c r="D50" s="17"/>
      <c r="E50" s="835"/>
      <c r="F50" s="823">
        <f>IFERROR(F49/$E47,0)</f>
        <v>0.11021508210915469</v>
      </c>
      <c r="G50" s="823">
        <f t="shared" ref="G50:Q50" si="12">IFERROR(G49/$E47,0)</f>
        <v>0.19764100904200166</v>
      </c>
      <c r="H50" s="823">
        <f t="shared" si="12"/>
        <v>0.28506684110660263</v>
      </c>
      <c r="I50" s="823">
        <f t="shared" si="12"/>
        <v>0.3724926731712036</v>
      </c>
      <c r="J50" s="823">
        <f t="shared" si="12"/>
        <v>0.45991850523580463</v>
      </c>
      <c r="K50" s="823">
        <f t="shared" si="12"/>
        <v>0.54734433730040566</v>
      </c>
      <c r="L50" s="823">
        <f t="shared" si="12"/>
        <v>0.63477016936500663</v>
      </c>
      <c r="M50" s="823">
        <f t="shared" si="12"/>
        <v>0.7221960014296076</v>
      </c>
      <c r="N50" s="823">
        <f t="shared" si="12"/>
        <v>0.80962183349420858</v>
      </c>
      <c r="O50" s="823">
        <f t="shared" si="12"/>
        <v>0.89704766555880966</v>
      </c>
      <c r="P50" s="823">
        <f t="shared" si="12"/>
        <v>0.98447349762341063</v>
      </c>
      <c r="Q50" s="823">
        <f t="shared" si="12"/>
        <v>0.99557924883673887</v>
      </c>
      <c r="T50" s="541"/>
    </row>
    <row r="51" spans="1:20">
      <c r="A51" s="546">
        <f t="shared" si="8"/>
        <v>39</v>
      </c>
      <c r="B51" s="16" t="s">
        <v>370</v>
      </c>
      <c r="C51" s="16"/>
      <c r="D51" s="16"/>
      <c r="E51" s="36"/>
      <c r="F51" s="37">
        <f t="shared" ref="F51:Q51" si="13">IFERROR(+F32/F50,0)</f>
        <v>1.7012140841004633</v>
      </c>
      <c r="G51" s="37">
        <f t="shared" si="13"/>
        <v>0.94868696973985045</v>
      </c>
      <c r="H51" s="37">
        <f t="shared" si="13"/>
        <v>0.65773854734043335</v>
      </c>
      <c r="I51" s="37">
        <f t="shared" si="13"/>
        <v>1.2304482736289013</v>
      </c>
      <c r="J51" s="37">
        <f t="shared" si="13"/>
        <v>0.99655256621590016</v>
      </c>
      <c r="K51" s="37">
        <f t="shared" si="13"/>
        <v>0.8373759175138219</v>
      </c>
      <c r="L51" s="37">
        <f t="shared" si="13"/>
        <v>1.1487094361269117</v>
      </c>
      <c r="M51" s="37">
        <f t="shared" si="13"/>
        <v>1.0096517868806463</v>
      </c>
      <c r="N51" s="37">
        <f t="shared" si="13"/>
        <v>0.90062601223893124</v>
      </c>
      <c r="O51" s="37">
        <f t="shared" si="13"/>
        <v>1.11476796428321</v>
      </c>
      <c r="P51" s="37">
        <f t="shared" si="13"/>
        <v>1.0157713766943157</v>
      </c>
      <c r="Q51" s="37">
        <f t="shared" si="13"/>
        <v>1.0044403809826554</v>
      </c>
      <c r="T51" s="541"/>
    </row>
    <row r="52" spans="1:20">
      <c r="A52" s="546">
        <f t="shared" si="8"/>
        <v>40</v>
      </c>
      <c r="B52" s="16"/>
      <c r="C52" s="16"/>
      <c r="D52" s="16"/>
      <c r="E52" s="36"/>
      <c r="F52" s="37"/>
      <c r="G52" s="37"/>
      <c r="H52" s="37"/>
      <c r="I52" s="37"/>
      <c r="J52" s="37"/>
      <c r="K52" s="37"/>
      <c r="L52" s="37"/>
      <c r="M52" s="37"/>
      <c r="N52" s="37"/>
      <c r="O52" s="37"/>
      <c r="P52" s="37"/>
      <c r="Q52" s="37"/>
      <c r="T52" s="541"/>
    </row>
    <row r="53" spans="1:20">
      <c r="A53" s="546">
        <f t="shared" si="8"/>
        <v>41</v>
      </c>
      <c r="B53" s="126" t="s">
        <v>371</v>
      </c>
      <c r="C53" s="126"/>
      <c r="D53" s="126"/>
      <c r="E53" s="1177"/>
      <c r="F53" s="1178"/>
      <c r="G53" s="1178"/>
      <c r="H53" s="1178"/>
      <c r="I53" s="1178"/>
      <c r="J53" s="1178"/>
      <c r="K53" s="1178"/>
      <c r="L53" s="1178"/>
      <c r="M53" s="1178"/>
      <c r="N53" s="1178"/>
      <c r="O53" s="1178"/>
      <c r="P53" s="1178"/>
      <c r="Q53" s="1178"/>
      <c r="T53" s="541"/>
    </row>
    <row r="54" spans="1:20">
      <c r="A54" s="546">
        <f t="shared" si="8"/>
        <v>42</v>
      </c>
      <c r="B54" s="13" t="s">
        <v>372</v>
      </c>
      <c r="C54" s="16"/>
      <c r="D54" s="16"/>
      <c r="E54" s="833">
        <f>SUM(F54:Q54)</f>
        <v>0</v>
      </c>
      <c r="F54" s="855">
        <v>0</v>
      </c>
      <c r="G54" s="855">
        <v>0</v>
      </c>
      <c r="H54" s="855">
        <v>0</v>
      </c>
      <c r="I54" s="855">
        <v>0</v>
      </c>
      <c r="J54" s="855">
        <v>0</v>
      </c>
      <c r="K54" s="855">
        <v>0</v>
      </c>
      <c r="L54" s="855">
        <v>0</v>
      </c>
      <c r="M54" s="855">
        <v>0</v>
      </c>
      <c r="N54" s="855">
        <v>0</v>
      </c>
      <c r="O54" s="855">
        <v>0</v>
      </c>
      <c r="P54" s="855">
        <v>0</v>
      </c>
      <c r="Q54" s="855">
        <v>0</v>
      </c>
      <c r="T54" s="541"/>
    </row>
    <row r="55" spans="1:20">
      <c r="A55" s="546">
        <f t="shared" si="8"/>
        <v>43</v>
      </c>
      <c r="B55" s="13" t="s">
        <v>373</v>
      </c>
      <c r="C55" s="16"/>
      <c r="D55" s="16"/>
      <c r="E55" s="833">
        <f>SUM(F55:Q55)</f>
        <v>0</v>
      </c>
      <c r="F55" s="855">
        <v>0</v>
      </c>
      <c r="G55" s="855">
        <v>0</v>
      </c>
      <c r="H55" s="855">
        <v>0</v>
      </c>
      <c r="I55" s="855">
        <v>0</v>
      </c>
      <c r="J55" s="855">
        <v>0</v>
      </c>
      <c r="K55" s="855">
        <v>0</v>
      </c>
      <c r="L55" s="855">
        <v>0</v>
      </c>
      <c r="M55" s="855">
        <v>0</v>
      </c>
      <c r="N55" s="855">
        <v>0</v>
      </c>
      <c r="O55" s="855">
        <v>0</v>
      </c>
      <c r="P55" s="855">
        <v>0</v>
      </c>
      <c r="Q55" s="855">
        <v>0</v>
      </c>
      <c r="T55" s="541"/>
    </row>
    <row r="56" spans="1:20">
      <c r="A56" s="546">
        <f t="shared" si="8"/>
        <v>44</v>
      </c>
      <c r="B56" s="13" t="s">
        <v>374</v>
      </c>
      <c r="C56" s="16"/>
      <c r="D56" s="16"/>
      <c r="E56" s="833"/>
      <c r="F56" s="856">
        <f>F54-F55</f>
        <v>0</v>
      </c>
      <c r="G56" s="856">
        <f>F56+G54-G55</f>
        <v>0</v>
      </c>
      <c r="H56" s="856">
        <f t="shared" ref="H56:Q56" si="14">G56+H54-H55</f>
        <v>0</v>
      </c>
      <c r="I56" s="856">
        <f t="shared" si="14"/>
        <v>0</v>
      </c>
      <c r="J56" s="856">
        <f t="shared" si="14"/>
        <v>0</v>
      </c>
      <c r="K56" s="856">
        <f t="shared" si="14"/>
        <v>0</v>
      </c>
      <c r="L56" s="856">
        <f t="shared" si="14"/>
        <v>0</v>
      </c>
      <c r="M56" s="856">
        <f t="shared" si="14"/>
        <v>0</v>
      </c>
      <c r="N56" s="856">
        <f t="shared" si="14"/>
        <v>0</v>
      </c>
      <c r="O56" s="856">
        <f t="shared" si="14"/>
        <v>0</v>
      </c>
      <c r="P56" s="856">
        <f t="shared" si="14"/>
        <v>0</v>
      </c>
      <c r="Q56" s="856">
        <f t="shared" si="14"/>
        <v>0</v>
      </c>
      <c r="T56" s="541"/>
    </row>
    <row r="57" spans="1:20">
      <c r="A57" s="546">
        <f t="shared" si="8"/>
        <v>45</v>
      </c>
      <c r="B57" s="13" t="s">
        <v>375</v>
      </c>
      <c r="C57" s="16"/>
      <c r="D57" s="16"/>
      <c r="E57" s="1202">
        <f>SUM(F57:Q57)</f>
        <v>0</v>
      </c>
      <c r="F57" s="854">
        <f>F56*0.02</f>
        <v>0</v>
      </c>
      <c r="G57" s="854">
        <f t="shared" ref="G57:Q57" si="15">G56*0.02</f>
        <v>0</v>
      </c>
      <c r="H57" s="854">
        <f t="shared" si="15"/>
        <v>0</v>
      </c>
      <c r="I57" s="854">
        <f t="shared" si="15"/>
        <v>0</v>
      </c>
      <c r="J57" s="854">
        <f t="shared" si="15"/>
        <v>0</v>
      </c>
      <c r="K57" s="854">
        <f t="shared" si="15"/>
        <v>0</v>
      </c>
      <c r="L57" s="854">
        <f t="shared" si="15"/>
        <v>0</v>
      </c>
      <c r="M57" s="854">
        <f t="shared" si="15"/>
        <v>0</v>
      </c>
      <c r="N57" s="854">
        <f t="shared" si="15"/>
        <v>0</v>
      </c>
      <c r="O57" s="854">
        <f t="shared" si="15"/>
        <v>0</v>
      </c>
      <c r="P57" s="854">
        <f t="shared" si="15"/>
        <v>0</v>
      </c>
      <c r="Q57" s="854">
        <f t="shared" si="15"/>
        <v>0</v>
      </c>
      <c r="T57" s="541"/>
    </row>
    <row r="58" spans="1:20">
      <c r="A58" s="546">
        <f t="shared" si="8"/>
        <v>46</v>
      </c>
      <c r="B58" s="16" t="s">
        <v>376</v>
      </c>
      <c r="C58" s="16"/>
      <c r="D58" s="16"/>
      <c r="E58" s="1203">
        <f>SUM(F58:Q58)</f>
        <v>0</v>
      </c>
      <c r="F58" s="857">
        <f>F54-F55-F57</f>
        <v>0</v>
      </c>
      <c r="G58" s="858">
        <f t="shared" ref="G58:Q58" si="16">G54-G55-G57</f>
        <v>0</v>
      </c>
      <c r="H58" s="858">
        <f t="shared" si="16"/>
        <v>0</v>
      </c>
      <c r="I58" s="858">
        <f t="shared" si="16"/>
        <v>0</v>
      </c>
      <c r="J58" s="858">
        <f t="shared" si="16"/>
        <v>0</v>
      </c>
      <c r="K58" s="858">
        <f t="shared" si="16"/>
        <v>0</v>
      </c>
      <c r="L58" s="858">
        <f t="shared" si="16"/>
        <v>0</v>
      </c>
      <c r="M58" s="858">
        <f t="shared" si="16"/>
        <v>0</v>
      </c>
      <c r="N58" s="858">
        <f t="shared" si="16"/>
        <v>0</v>
      </c>
      <c r="O58" s="858">
        <f t="shared" si="16"/>
        <v>0</v>
      </c>
      <c r="P58" s="858">
        <f t="shared" si="16"/>
        <v>0</v>
      </c>
      <c r="Q58" s="858">
        <f t="shared" si="16"/>
        <v>0</v>
      </c>
      <c r="T58" s="541"/>
    </row>
    <row r="59" spans="1:20">
      <c r="A59" s="546">
        <f t="shared" si="8"/>
        <v>47</v>
      </c>
      <c r="B59" s="16"/>
      <c r="C59" s="16"/>
      <c r="D59" s="16"/>
      <c r="E59" s="36"/>
      <c r="F59" s="37"/>
      <c r="G59" s="37"/>
      <c r="H59" s="37"/>
      <c r="I59" s="37"/>
      <c r="J59" s="37"/>
      <c r="K59" s="37"/>
      <c r="L59" s="37"/>
      <c r="M59" s="37"/>
      <c r="N59" s="37"/>
      <c r="O59" s="37"/>
      <c r="P59" s="37"/>
      <c r="Q59" s="37"/>
      <c r="T59" s="541"/>
    </row>
    <row r="60" spans="1:20">
      <c r="A60" s="546">
        <f t="shared" si="8"/>
        <v>48</v>
      </c>
      <c r="B60" s="193" t="s">
        <v>377</v>
      </c>
      <c r="C60" s="128"/>
      <c r="D60" s="128"/>
      <c r="E60" s="128"/>
      <c r="F60" s="128"/>
      <c r="G60" s="128"/>
      <c r="H60" s="128"/>
      <c r="I60" s="128"/>
      <c r="J60" s="128"/>
      <c r="K60" s="128"/>
      <c r="L60" s="128"/>
      <c r="M60" s="128"/>
      <c r="N60" s="128"/>
      <c r="O60" s="128"/>
      <c r="P60" s="128"/>
      <c r="Q60" s="128"/>
      <c r="T60" s="541"/>
    </row>
    <row r="61" spans="1:20">
      <c r="A61" s="546">
        <f t="shared" si="8"/>
        <v>49</v>
      </c>
      <c r="B61" s="13"/>
      <c r="C61" s="13"/>
      <c r="D61" s="13"/>
      <c r="E61" s="129"/>
      <c r="F61" s="130"/>
      <c r="G61" s="130"/>
      <c r="H61" s="130"/>
      <c r="I61" s="130"/>
      <c r="J61" s="130"/>
      <c r="K61" s="130"/>
      <c r="L61" s="130"/>
      <c r="M61" s="130"/>
      <c r="N61" s="130"/>
      <c r="O61" s="130"/>
      <c r="P61" s="130"/>
      <c r="Q61" s="130"/>
      <c r="T61" s="541"/>
    </row>
    <row r="62" spans="1:20">
      <c r="A62" s="546">
        <f t="shared" si="8"/>
        <v>50</v>
      </c>
      <c r="B62" s="13" t="s">
        <v>378</v>
      </c>
      <c r="C62" s="13"/>
      <c r="D62" s="13"/>
      <c r="E62" s="1201">
        <f>E30-E47</f>
        <v>-631009.9021749997</v>
      </c>
      <c r="F62" s="1201">
        <f t="shared" ref="F62:Q62" si="17">F48+F58</f>
        <v>44615.887717187521</v>
      </c>
      <c r="G62" s="1201">
        <f t="shared" si="17"/>
        <v>-184310.2</v>
      </c>
      <c r="H62" s="1201">
        <f t="shared" si="17"/>
        <v>-184310</v>
      </c>
      <c r="I62" s="1201">
        <f t="shared" si="17"/>
        <v>215759.06003593752</v>
      </c>
      <c r="J62" s="1201">
        <f t="shared" si="17"/>
        <v>-184310</v>
      </c>
      <c r="K62" s="1201">
        <f t="shared" si="17"/>
        <v>-184310</v>
      </c>
      <c r="L62" s="1201">
        <f t="shared" si="17"/>
        <v>215759.06003593752</v>
      </c>
      <c r="M62" s="1201">
        <f t="shared" si="17"/>
        <v>-184310</v>
      </c>
      <c r="N62" s="1201">
        <f t="shared" si="17"/>
        <v>-184310</v>
      </c>
      <c r="O62" s="1201">
        <f t="shared" si="17"/>
        <v>215759.06003593752</v>
      </c>
      <c r="P62" s="1201">
        <f t="shared" si="17"/>
        <v>-184310</v>
      </c>
      <c r="Q62" s="1201">
        <f t="shared" si="17"/>
        <v>-23413</v>
      </c>
      <c r="T62" s="541"/>
    </row>
    <row r="63" spans="1:20">
      <c r="A63" s="546">
        <f t="shared" si="8"/>
        <v>51</v>
      </c>
      <c r="B63" s="13"/>
      <c r="C63" s="13"/>
      <c r="D63" s="13"/>
      <c r="E63" s="863"/>
      <c r="F63" s="862"/>
      <c r="G63" s="862"/>
      <c r="H63" s="862"/>
      <c r="I63" s="862"/>
      <c r="J63" s="862"/>
      <c r="K63" s="862"/>
      <c r="L63" s="862"/>
      <c r="M63" s="862"/>
      <c r="N63" s="862"/>
      <c r="O63" s="862"/>
      <c r="P63" s="862"/>
      <c r="Q63" s="862"/>
      <c r="T63" s="541"/>
    </row>
    <row r="64" spans="1:20">
      <c r="A64" s="546">
        <f t="shared" si="8"/>
        <v>52</v>
      </c>
      <c r="B64" s="13" t="s">
        <v>379</v>
      </c>
      <c r="C64" s="13"/>
      <c r="D64" s="13"/>
      <c r="E64" s="1200">
        <v>0</v>
      </c>
      <c r="F64" s="869">
        <f>+E64</f>
        <v>0</v>
      </c>
      <c r="G64" s="869">
        <f>F66</f>
        <v>44615.887717187521</v>
      </c>
      <c r="H64" s="869">
        <f t="shared" ref="H64:Q64" si="18">G66</f>
        <v>-139694.31228281249</v>
      </c>
      <c r="I64" s="869">
        <f t="shared" si="18"/>
        <v>-324004.31228281249</v>
      </c>
      <c r="J64" s="869">
        <f t="shared" si="18"/>
        <v>-108245.25224687497</v>
      </c>
      <c r="K64" s="869">
        <f t="shared" si="18"/>
        <v>-292555.25224687497</v>
      </c>
      <c r="L64" s="869">
        <f t="shared" si="18"/>
        <v>-476865.25224687497</v>
      </c>
      <c r="M64" s="869">
        <f t="shared" si="18"/>
        <v>-261106.19221093744</v>
      </c>
      <c r="N64" s="869">
        <f t="shared" si="18"/>
        <v>-445416.19221093744</v>
      </c>
      <c r="O64" s="869">
        <f t="shared" si="18"/>
        <v>-629726.19221093738</v>
      </c>
      <c r="P64" s="869">
        <f t="shared" si="18"/>
        <v>-413967.13217499986</v>
      </c>
      <c r="Q64" s="869">
        <f t="shared" si="18"/>
        <v>-598277.13217499992</v>
      </c>
      <c r="T64" s="541"/>
    </row>
    <row r="65" spans="1:20">
      <c r="A65" s="546">
        <f t="shared" si="8"/>
        <v>53</v>
      </c>
      <c r="B65" s="13"/>
      <c r="C65" s="13"/>
      <c r="D65" s="13"/>
      <c r="E65" s="860"/>
      <c r="F65" s="859"/>
      <c r="G65" s="859"/>
      <c r="H65" s="859"/>
      <c r="I65" s="859"/>
      <c r="J65" s="859"/>
      <c r="K65" s="859"/>
      <c r="L65" s="859"/>
      <c r="M65" s="859"/>
      <c r="N65" s="859"/>
      <c r="O65" s="859"/>
      <c r="P65" s="859"/>
      <c r="Q65" s="859"/>
      <c r="T65" s="541"/>
    </row>
    <row r="66" spans="1:20" ht="15.75" thickBot="1">
      <c r="A66" s="546">
        <f t="shared" si="8"/>
        <v>54</v>
      </c>
      <c r="B66" s="16" t="s">
        <v>380</v>
      </c>
      <c r="C66" s="16"/>
      <c r="D66" s="16"/>
      <c r="E66" s="1330">
        <f>SUM(E64,E62)</f>
        <v>-631009.9021749997</v>
      </c>
      <c r="F66" s="1330">
        <f>SUM(F64,F62)</f>
        <v>44615.887717187521</v>
      </c>
      <c r="G66" s="1330">
        <f>SUM(G64,G62)</f>
        <v>-139694.31228281249</v>
      </c>
      <c r="H66" s="1330">
        <f t="shared" ref="H66:Q66" si="19">SUM(H64,H62)</f>
        <v>-324004.31228281249</v>
      </c>
      <c r="I66" s="1330">
        <f t="shared" si="19"/>
        <v>-108245.25224687497</v>
      </c>
      <c r="J66" s="1330">
        <f t="shared" si="19"/>
        <v>-292555.25224687497</v>
      </c>
      <c r="K66" s="1330">
        <f t="shared" si="19"/>
        <v>-476865.25224687497</v>
      </c>
      <c r="L66" s="1330">
        <f t="shared" si="19"/>
        <v>-261106.19221093744</v>
      </c>
      <c r="M66" s="1330">
        <f t="shared" si="19"/>
        <v>-445416.19221093744</v>
      </c>
      <c r="N66" s="1330">
        <f t="shared" si="19"/>
        <v>-629726.19221093738</v>
      </c>
      <c r="O66" s="1330">
        <f t="shared" si="19"/>
        <v>-413967.13217499986</v>
      </c>
      <c r="P66" s="1330">
        <f t="shared" si="19"/>
        <v>-598277.13217499992</v>
      </c>
      <c r="Q66" s="1330">
        <f t="shared" si="19"/>
        <v>-621690.13217499992</v>
      </c>
      <c r="T66" s="541"/>
    </row>
    <row r="67" spans="1:20" ht="15.75" thickTop="1">
      <c r="A67" s="546">
        <f t="shared" ref="A67:A130" si="20">ROW()-12</f>
        <v>55</v>
      </c>
      <c r="B67" s="16"/>
      <c r="C67" s="16"/>
      <c r="D67" s="16"/>
      <c r="E67" s="131"/>
      <c r="F67" s="131"/>
      <c r="G67" s="131"/>
      <c r="H67" s="131"/>
      <c r="I67" s="131"/>
      <c r="J67" s="131"/>
      <c r="K67" s="131"/>
      <c r="L67" s="131"/>
      <c r="M67" s="131"/>
      <c r="N67" s="131"/>
      <c r="O67" s="131"/>
      <c r="P67" s="131"/>
      <c r="Q67" s="131"/>
      <c r="T67" s="541"/>
    </row>
    <row r="68" spans="1:20">
      <c r="A68" s="546">
        <f t="shared" si="20"/>
        <v>56</v>
      </c>
      <c r="B68" s="132" t="s">
        <v>381</v>
      </c>
      <c r="C68" s="132"/>
      <c r="D68" s="132"/>
      <c r="E68" s="132"/>
      <c r="F68" s="133"/>
      <c r="G68" s="134">
        <f t="shared" ref="G68:Q68" si="21">IFERROR(G64/G47,0)</f>
        <v>0.24206955294491309</v>
      </c>
      <c r="H68" s="134">
        <f t="shared" si="21"/>
        <v>-0.75793126950687695</v>
      </c>
      <c r="I68" s="134">
        <f t="shared" si="21"/>
        <v>-1.7579312695068769</v>
      </c>
      <c r="J68" s="134">
        <f t="shared" si="21"/>
        <v>-0.58729994165739763</v>
      </c>
      <c r="K68" s="134">
        <f t="shared" si="21"/>
        <v>-1.5872999416573976</v>
      </c>
      <c r="L68" s="134">
        <f t="shared" si="21"/>
        <v>-2.5872999416573976</v>
      </c>
      <c r="M68" s="134">
        <f t="shared" si="21"/>
        <v>-1.4166686138079183</v>
      </c>
      <c r="N68" s="134">
        <f t="shared" si="21"/>
        <v>-2.4166686138079183</v>
      </c>
      <c r="O68" s="134">
        <f t="shared" si="21"/>
        <v>-3.4166686138079183</v>
      </c>
      <c r="P68" s="134">
        <f t="shared" si="21"/>
        <v>-2.246037285958439</v>
      </c>
      <c r="Q68" s="134">
        <f t="shared" si="21"/>
        <v>-25.553202587237855</v>
      </c>
      <c r="T68" s="541"/>
    </row>
    <row r="69" spans="1:20">
      <c r="A69" s="546">
        <f t="shared" si="20"/>
        <v>57</v>
      </c>
      <c r="B69" s="16"/>
      <c r="C69" s="16"/>
      <c r="D69" s="16"/>
      <c r="E69" s="131"/>
      <c r="F69" s="131"/>
      <c r="G69" s="131"/>
      <c r="H69" s="131"/>
      <c r="I69" s="131"/>
      <c r="J69" s="131"/>
      <c r="K69" s="131"/>
      <c r="L69" s="131"/>
      <c r="M69" s="131"/>
      <c r="N69" s="131"/>
      <c r="O69" s="131"/>
      <c r="P69" s="131"/>
      <c r="Q69" s="131"/>
      <c r="T69" s="541"/>
    </row>
    <row r="70" spans="1:20" ht="18.75">
      <c r="A70" s="546">
        <f t="shared" si="20"/>
        <v>58</v>
      </c>
      <c r="B70" s="1223" t="s">
        <v>382</v>
      </c>
      <c r="C70" s="1223"/>
      <c r="D70" s="1223"/>
      <c r="E70" s="1224"/>
      <c r="F70" s="1224"/>
      <c r="G70" s="1224"/>
      <c r="H70" s="1224"/>
      <c r="I70" s="1224"/>
      <c r="J70" s="1224"/>
      <c r="K70" s="1224"/>
      <c r="L70" s="1224"/>
      <c r="M70" s="1224"/>
      <c r="N70" s="1224"/>
      <c r="O70" s="1224"/>
      <c r="P70" s="1224"/>
      <c r="Q70" s="1224"/>
      <c r="T70" s="541"/>
    </row>
    <row r="71" spans="1:20">
      <c r="A71" s="546">
        <f t="shared" si="20"/>
        <v>59</v>
      </c>
      <c r="T71" s="541"/>
    </row>
    <row r="72" spans="1:20">
      <c r="A72" s="546">
        <f t="shared" si="20"/>
        <v>60</v>
      </c>
      <c r="B72" s="135" t="s">
        <v>346</v>
      </c>
      <c r="C72" s="135"/>
      <c r="D72" s="135"/>
      <c r="E72" s="136"/>
      <c r="F72" s="137"/>
      <c r="G72" s="137"/>
      <c r="H72" s="137"/>
      <c r="I72" s="137"/>
      <c r="J72" s="137"/>
      <c r="K72" s="137"/>
      <c r="L72" s="137"/>
      <c r="M72" s="137"/>
      <c r="N72" s="137"/>
      <c r="O72" s="137"/>
      <c r="P72" s="137"/>
      <c r="Q72" s="137"/>
      <c r="T72" s="541"/>
    </row>
    <row r="73" spans="1:20">
      <c r="A73" s="546">
        <f t="shared" si="20"/>
        <v>61</v>
      </c>
      <c r="B73" s="14" t="s">
        <v>1226</v>
      </c>
      <c r="C73" s="13"/>
      <c r="D73" s="13"/>
      <c r="E73" s="840">
        <f t="shared" ref="E73:Q73" si="22">IF(OR(E14=0,E$30=0),0,E14/E$30)</f>
        <v>0.88254964309698192</v>
      </c>
      <c r="F73" s="840">
        <f t="shared" si="22"/>
        <v>0.88255223208451017</v>
      </c>
      <c r="G73" s="840">
        <f t="shared" si="22"/>
        <v>0</v>
      </c>
      <c r="H73" s="840">
        <f t="shared" si="22"/>
        <v>0</v>
      </c>
      <c r="I73" s="840">
        <f t="shared" si="22"/>
        <v>0.88254904564047865</v>
      </c>
      <c r="J73" s="840">
        <f t="shared" si="22"/>
        <v>0</v>
      </c>
      <c r="K73" s="840">
        <f t="shared" si="22"/>
        <v>0</v>
      </c>
      <c r="L73" s="840">
        <f t="shared" si="22"/>
        <v>0.88254904564047865</v>
      </c>
      <c r="M73" s="840">
        <f t="shared" si="22"/>
        <v>0</v>
      </c>
      <c r="N73" s="840">
        <f t="shared" si="22"/>
        <v>0</v>
      </c>
      <c r="O73" s="840">
        <f t="shared" si="22"/>
        <v>0.88254904564047865</v>
      </c>
      <c r="P73" s="840">
        <f t="shared" si="22"/>
        <v>0</v>
      </c>
      <c r="Q73" s="840">
        <f t="shared" si="22"/>
        <v>0</v>
      </c>
      <c r="T73" s="541"/>
    </row>
    <row r="74" spans="1:20">
      <c r="A74" s="546">
        <f t="shared" si="20"/>
        <v>62</v>
      </c>
      <c r="B74" s="14" t="str">
        <f>+B15</f>
        <v>CS Sponsorship Fee @ 0.0125</v>
      </c>
      <c r="C74" s="13"/>
      <c r="D74" s="13"/>
      <c r="E74" s="840">
        <f t="shared" ref="E74:Q74" si="23">IF(OR(E15=0,E$30=0),0,E15/E$30)</f>
        <v>-1.1031870538712274E-2</v>
      </c>
      <c r="F74" s="840">
        <f t="shared" si="23"/>
        <v>-1.1031902901056378E-2</v>
      </c>
      <c r="G74" s="840">
        <f t="shared" si="23"/>
        <v>0</v>
      </c>
      <c r="H74" s="840">
        <f t="shared" si="23"/>
        <v>0</v>
      </c>
      <c r="I74" s="840">
        <f t="shared" si="23"/>
        <v>-1.1031863070505982E-2</v>
      </c>
      <c r="J74" s="840">
        <f t="shared" si="23"/>
        <v>0</v>
      </c>
      <c r="K74" s="840">
        <f t="shared" si="23"/>
        <v>0</v>
      </c>
      <c r="L74" s="840">
        <f t="shared" si="23"/>
        <v>-1.1031863070505982E-2</v>
      </c>
      <c r="M74" s="840">
        <f t="shared" si="23"/>
        <v>0</v>
      </c>
      <c r="N74" s="840">
        <f t="shared" si="23"/>
        <v>0</v>
      </c>
      <c r="O74" s="840">
        <f t="shared" si="23"/>
        <v>-1.1031863070505982E-2</v>
      </c>
      <c r="P74" s="840">
        <f t="shared" si="23"/>
        <v>0</v>
      </c>
      <c r="Q74" s="840">
        <f t="shared" si="23"/>
        <v>0</v>
      </c>
      <c r="T74" s="541"/>
    </row>
    <row r="75" spans="1:20">
      <c r="A75" s="546">
        <f t="shared" si="20"/>
        <v>63</v>
      </c>
      <c r="B75" s="14" t="s">
        <v>128</v>
      </c>
      <c r="C75" s="13"/>
      <c r="D75" s="13"/>
      <c r="E75" s="840">
        <f t="shared" ref="E75:Q75" si="24">IF(OR(E16=0,E$30=0),0,E16/E$30)</f>
        <v>2.3030414390396103E-2</v>
      </c>
      <c r="F75" s="840">
        <f t="shared" si="24"/>
        <v>2.3027774075254498E-2</v>
      </c>
      <c r="G75" s="840">
        <f t="shared" si="24"/>
        <v>0</v>
      </c>
      <c r="H75" s="840">
        <f t="shared" si="24"/>
        <v>0</v>
      </c>
      <c r="I75" s="840">
        <f t="shared" si="24"/>
        <v>2.3031023691690435E-2</v>
      </c>
      <c r="J75" s="840">
        <f t="shared" si="24"/>
        <v>0</v>
      </c>
      <c r="K75" s="840">
        <f t="shared" si="24"/>
        <v>0</v>
      </c>
      <c r="L75" s="840">
        <f t="shared" si="24"/>
        <v>2.3031023691690435E-2</v>
      </c>
      <c r="M75" s="840">
        <f t="shared" si="24"/>
        <v>0</v>
      </c>
      <c r="N75" s="840">
        <f t="shared" si="24"/>
        <v>0</v>
      </c>
      <c r="O75" s="840">
        <f t="shared" si="24"/>
        <v>2.3031023691690435E-2</v>
      </c>
      <c r="P75" s="840">
        <f t="shared" si="24"/>
        <v>0</v>
      </c>
      <c r="Q75" s="840">
        <f t="shared" si="24"/>
        <v>0</v>
      </c>
      <c r="T75" s="541"/>
    </row>
    <row r="76" spans="1:20">
      <c r="A76" s="546">
        <f t="shared" si="20"/>
        <v>64</v>
      </c>
      <c r="B76" s="14" t="s">
        <v>129</v>
      </c>
      <c r="C76" s="13"/>
      <c r="D76" s="13"/>
      <c r="E76" s="840">
        <f t="shared" ref="E76:Q76" si="25">IF(OR(E17=0,E$30=0),0,E17/E$30)</f>
        <v>4.7035661135941247E-3</v>
      </c>
      <c r="F76" s="840">
        <f t="shared" si="25"/>
        <v>4.7008720360585381E-3</v>
      </c>
      <c r="G76" s="840">
        <f t="shared" si="25"/>
        <v>0</v>
      </c>
      <c r="H76" s="840">
        <f t="shared" si="25"/>
        <v>0</v>
      </c>
      <c r="I76" s="840">
        <f t="shared" si="25"/>
        <v>4.7041878215499672E-3</v>
      </c>
      <c r="J76" s="840">
        <f t="shared" si="25"/>
        <v>0</v>
      </c>
      <c r="K76" s="840">
        <f t="shared" si="25"/>
        <v>0</v>
      </c>
      <c r="L76" s="840">
        <f t="shared" si="25"/>
        <v>4.7041878215499672E-3</v>
      </c>
      <c r="M76" s="840">
        <f t="shared" si="25"/>
        <v>0</v>
      </c>
      <c r="N76" s="840">
        <f t="shared" si="25"/>
        <v>0</v>
      </c>
      <c r="O76" s="840">
        <f t="shared" si="25"/>
        <v>4.7041878215499672E-3</v>
      </c>
      <c r="P76" s="840">
        <f t="shared" si="25"/>
        <v>0</v>
      </c>
      <c r="Q76" s="840">
        <f t="shared" si="25"/>
        <v>0</v>
      </c>
      <c r="T76" s="541"/>
    </row>
    <row r="77" spans="1:20">
      <c r="A77" s="546">
        <f t="shared" si="20"/>
        <v>65</v>
      </c>
      <c r="B77" s="14" t="s">
        <v>130</v>
      </c>
      <c r="C77" s="14"/>
      <c r="D77" s="14"/>
      <c r="E77" s="840">
        <f t="shared" ref="E77:Q77" si="26">IF(OR(E18=0,E$30=0),0,E18/E$30)</f>
        <v>4.6297767200446484E-3</v>
      </c>
      <c r="F77" s="840">
        <f t="shared" si="26"/>
        <v>4.6322725209394042E-3</v>
      </c>
      <c r="G77" s="840">
        <f t="shared" si="26"/>
        <v>0</v>
      </c>
      <c r="H77" s="840">
        <f t="shared" si="26"/>
        <v>0</v>
      </c>
      <c r="I77" s="840">
        <f t="shared" si="26"/>
        <v>4.6292007680714875E-3</v>
      </c>
      <c r="J77" s="840">
        <f t="shared" si="26"/>
        <v>0</v>
      </c>
      <c r="K77" s="840">
        <f t="shared" si="26"/>
        <v>0</v>
      </c>
      <c r="L77" s="840">
        <f t="shared" si="26"/>
        <v>4.6292007680714875E-3</v>
      </c>
      <c r="M77" s="840">
        <f t="shared" si="26"/>
        <v>0</v>
      </c>
      <c r="N77" s="840">
        <f t="shared" si="26"/>
        <v>0</v>
      </c>
      <c r="O77" s="840">
        <f t="shared" si="26"/>
        <v>4.6292007680714875E-3</v>
      </c>
      <c r="P77" s="840">
        <f t="shared" si="26"/>
        <v>0</v>
      </c>
      <c r="Q77" s="840">
        <f t="shared" si="26"/>
        <v>0</v>
      </c>
      <c r="T77" s="541"/>
    </row>
    <row r="78" spans="1:20">
      <c r="A78" s="546">
        <f t="shared" si="20"/>
        <v>66</v>
      </c>
      <c r="B78" s="15" t="s">
        <v>132</v>
      </c>
      <c r="C78" s="15"/>
      <c r="D78" s="15"/>
      <c r="E78" s="840">
        <f t="shared" ref="E78:Q78" si="27">IF(OR(E19=0,E$30=0),0,E19/E$30)</f>
        <v>2.9609855820738832E-2</v>
      </c>
      <c r="F78" s="841">
        <f t="shared" si="27"/>
        <v>2.9609717025895599E-2</v>
      </c>
      <c r="G78" s="840">
        <f t="shared" si="27"/>
        <v>0</v>
      </c>
      <c r="H78" s="840">
        <f t="shared" si="27"/>
        <v>0</v>
      </c>
      <c r="I78" s="840">
        <f t="shared" si="27"/>
        <v>2.9609887850202396E-2</v>
      </c>
      <c r="J78" s="841">
        <f t="shared" si="27"/>
        <v>0</v>
      </c>
      <c r="K78" s="840">
        <f t="shared" si="27"/>
        <v>0</v>
      </c>
      <c r="L78" s="840">
        <f t="shared" si="27"/>
        <v>2.9609887850202396E-2</v>
      </c>
      <c r="M78" s="840">
        <f t="shared" si="27"/>
        <v>0</v>
      </c>
      <c r="N78" s="841">
        <f t="shared" si="27"/>
        <v>0</v>
      </c>
      <c r="O78" s="840">
        <f t="shared" si="27"/>
        <v>2.9609887850202396E-2</v>
      </c>
      <c r="P78" s="840">
        <f t="shared" si="27"/>
        <v>0</v>
      </c>
      <c r="Q78" s="840">
        <f t="shared" si="27"/>
        <v>0</v>
      </c>
      <c r="T78" s="541"/>
    </row>
    <row r="79" spans="1:20">
      <c r="A79" s="546">
        <f t="shared" si="20"/>
        <v>67</v>
      </c>
      <c r="B79" s="14" t="s">
        <v>133</v>
      </c>
      <c r="C79" s="14"/>
      <c r="D79" s="14"/>
      <c r="E79" s="840">
        <f t="shared" ref="E79:Q79" si="28">IF(OR(E20=0,E$30=0),0,E20/E$30)</f>
        <v>5.1521243903453431E-2</v>
      </c>
      <c r="F79" s="841">
        <f t="shared" si="28"/>
        <v>5.1521846355265237E-2</v>
      </c>
      <c r="G79" s="840">
        <f t="shared" si="28"/>
        <v>0</v>
      </c>
      <c r="H79" s="840">
        <f t="shared" si="28"/>
        <v>0</v>
      </c>
      <c r="I79" s="840">
        <f t="shared" si="28"/>
        <v>5.1521104876614203E-2</v>
      </c>
      <c r="J79" s="841">
        <f t="shared" si="28"/>
        <v>0</v>
      </c>
      <c r="K79" s="840">
        <f t="shared" si="28"/>
        <v>0</v>
      </c>
      <c r="L79" s="840">
        <f t="shared" si="28"/>
        <v>5.1521104876614203E-2</v>
      </c>
      <c r="M79" s="840">
        <f t="shared" si="28"/>
        <v>0</v>
      </c>
      <c r="N79" s="840">
        <f t="shared" si="28"/>
        <v>0</v>
      </c>
      <c r="O79" s="840">
        <f t="shared" si="28"/>
        <v>5.1521104876614203E-2</v>
      </c>
      <c r="P79" s="840">
        <f t="shared" si="28"/>
        <v>0</v>
      </c>
      <c r="Q79" s="840">
        <f t="shared" si="28"/>
        <v>0</v>
      </c>
      <c r="T79" s="541"/>
    </row>
    <row r="80" spans="1:20">
      <c r="A80" s="546">
        <f t="shared" si="20"/>
        <v>68</v>
      </c>
      <c r="B80" s="14" t="s">
        <v>134</v>
      </c>
      <c r="C80" s="14"/>
      <c r="D80" s="14"/>
      <c r="E80" s="840">
        <f t="shared" ref="E80:Q80" si="29">IF(OR(E21=0,E$30=0),0,E21/E$30)</f>
        <v>1.4987370493503214E-2</v>
      </c>
      <c r="F80" s="841">
        <f t="shared" si="29"/>
        <v>1.4987188803132866E-2</v>
      </c>
      <c r="G80" s="840">
        <f t="shared" si="29"/>
        <v>0</v>
      </c>
      <c r="H80" s="840">
        <f t="shared" si="29"/>
        <v>0</v>
      </c>
      <c r="I80" s="840">
        <f t="shared" si="29"/>
        <v>1.4987412421898832E-2</v>
      </c>
      <c r="J80" s="841">
        <f t="shared" si="29"/>
        <v>0</v>
      </c>
      <c r="K80" s="840">
        <f t="shared" si="29"/>
        <v>0</v>
      </c>
      <c r="L80" s="840">
        <f t="shared" si="29"/>
        <v>1.4987412421898832E-2</v>
      </c>
      <c r="M80" s="840">
        <f t="shared" si="29"/>
        <v>0</v>
      </c>
      <c r="N80" s="841">
        <f t="shared" si="29"/>
        <v>0</v>
      </c>
      <c r="O80" s="840">
        <f t="shared" si="29"/>
        <v>1.4987412421898832E-2</v>
      </c>
      <c r="P80" s="840">
        <f t="shared" si="29"/>
        <v>0</v>
      </c>
      <c r="Q80" s="840">
        <f t="shared" si="29"/>
        <v>0</v>
      </c>
      <c r="T80" s="541"/>
    </row>
    <row r="81" spans="1:20">
      <c r="A81" s="546">
        <f t="shared" si="20"/>
        <v>69</v>
      </c>
      <c r="B81" s="14" t="s">
        <v>312</v>
      </c>
      <c r="C81" s="14"/>
      <c r="D81" s="14"/>
      <c r="E81" s="840">
        <f t="shared" ref="E81:Q81" si="30">IF(OR(E22=0,E$30=0),0,E22/E$30)</f>
        <v>0</v>
      </c>
      <c r="F81" s="841">
        <f t="shared" si="30"/>
        <v>0</v>
      </c>
      <c r="G81" s="840">
        <f t="shared" si="30"/>
        <v>0</v>
      </c>
      <c r="H81" s="840">
        <f t="shared" si="30"/>
        <v>0</v>
      </c>
      <c r="I81" s="840">
        <f t="shared" si="30"/>
        <v>0</v>
      </c>
      <c r="J81" s="841">
        <f t="shared" si="30"/>
        <v>0</v>
      </c>
      <c r="K81" s="840">
        <f t="shared" si="30"/>
        <v>0</v>
      </c>
      <c r="L81" s="840">
        <f t="shared" si="30"/>
        <v>0</v>
      </c>
      <c r="M81" s="840">
        <f t="shared" si="30"/>
        <v>0</v>
      </c>
      <c r="N81" s="841">
        <f t="shared" si="30"/>
        <v>0</v>
      </c>
      <c r="O81" s="840">
        <f t="shared" si="30"/>
        <v>0</v>
      </c>
      <c r="P81" s="840">
        <f t="shared" si="30"/>
        <v>0</v>
      </c>
      <c r="Q81" s="840">
        <f t="shared" si="30"/>
        <v>0</v>
      </c>
      <c r="T81" s="541"/>
    </row>
    <row r="82" spans="1:20">
      <c r="A82" s="546">
        <f t="shared" si="20"/>
        <v>70</v>
      </c>
      <c r="B82" s="14" t="s">
        <v>349</v>
      </c>
      <c r="C82" s="14"/>
      <c r="D82" s="14"/>
      <c r="E82" s="840">
        <f t="shared" ref="E82:Q82" si="31">IF(OR(E23=0,E$30=0),0,E23/E$30)</f>
        <v>0</v>
      </c>
      <c r="F82" s="841">
        <f t="shared" si="31"/>
        <v>0</v>
      </c>
      <c r="G82" s="840">
        <f t="shared" si="31"/>
        <v>0</v>
      </c>
      <c r="H82" s="840">
        <f t="shared" si="31"/>
        <v>0</v>
      </c>
      <c r="I82" s="840">
        <f t="shared" si="31"/>
        <v>0</v>
      </c>
      <c r="J82" s="841">
        <f t="shared" si="31"/>
        <v>0</v>
      </c>
      <c r="K82" s="840">
        <f t="shared" si="31"/>
        <v>0</v>
      </c>
      <c r="L82" s="840">
        <f t="shared" si="31"/>
        <v>0</v>
      </c>
      <c r="M82" s="840">
        <f t="shared" si="31"/>
        <v>0</v>
      </c>
      <c r="N82" s="841">
        <f t="shared" si="31"/>
        <v>0</v>
      </c>
      <c r="O82" s="840">
        <f t="shared" si="31"/>
        <v>0</v>
      </c>
      <c r="P82" s="840">
        <f t="shared" si="31"/>
        <v>0</v>
      </c>
      <c r="Q82" s="840">
        <f t="shared" si="31"/>
        <v>0</v>
      </c>
      <c r="T82" s="541"/>
    </row>
    <row r="83" spans="1:20">
      <c r="A83" s="546">
        <f t="shared" si="20"/>
        <v>71</v>
      </c>
      <c r="B83" s="14" t="s">
        <v>350</v>
      </c>
      <c r="C83" s="14"/>
      <c r="D83" s="14"/>
      <c r="E83" s="840">
        <f t="shared" ref="E83:Q83" si="32">IF(OR(E24=0,E$30=0),0,E24/E$30)</f>
        <v>0</v>
      </c>
      <c r="F83" s="841">
        <f t="shared" si="32"/>
        <v>0</v>
      </c>
      <c r="G83" s="840">
        <f t="shared" si="32"/>
        <v>0</v>
      </c>
      <c r="H83" s="840">
        <f t="shared" si="32"/>
        <v>0</v>
      </c>
      <c r="I83" s="840">
        <f t="shared" si="32"/>
        <v>0</v>
      </c>
      <c r="J83" s="841">
        <f t="shared" si="32"/>
        <v>0</v>
      </c>
      <c r="K83" s="840">
        <f t="shared" si="32"/>
        <v>0</v>
      </c>
      <c r="L83" s="840">
        <f t="shared" si="32"/>
        <v>0</v>
      </c>
      <c r="M83" s="840">
        <f t="shared" si="32"/>
        <v>0</v>
      </c>
      <c r="N83" s="841">
        <f t="shared" si="32"/>
        <v>0</v>
      </c>
      <c r="O83" s="840">
        <f t="shared" si="32"/>
        <v>0</v>
      </c>
      <c r="P83" s="840">
        <f t="shared" si="32"/>
        <v>0</v>
      </c>
      <c r="Q83" s="840">
        <f t="shared" si="32"/>
        <v>0</v>
      </c>
      <c r="T83" s="541"/>
    </row>
    <row r="84" spans="1:20">
      <c r="A84" s="546">
        <f t="shared" si="20"/>
        <v>72</v>
      </c>
      <c r="B84" s="14" t="s">
        <v>142</v>
      </c>
      <c r="C84" s="14"/>
      <c r="D84" s="14"/>
      <c r="E84" s="840">
        <f t="shared" ref="E84:Q84" si="33">IF(OR(E25=0,E$30=0),0,E25/E$30)</f>
        <v>0</v>
      </c>
      <c r="F84" s="841">
        <f t="shared" si="33"/>
        <v>0</v>
      </c>
      <c r="G84" s="840">
        <f t="shared" si="33"/>
        <v>0</v>
      </c>
      <c r="H84" s="840">
        <f t="shared" si="33"/>
        <v>0</v>
      </c>
      <c r="I84" s="840">
        <f t="shared" si="33"/>
        <v>0</v>
      </c>
      <c r="J84" s="841">
        <f t="shared" si="33"/>
        <v>0</v>
      </c>
      <c r="K84" s="840">
        <f t="shared" si="33"/>
        <v>0</v>
      </c>
      <c r="L84" s="840">
        <f t="shared" si="33"/>
        <v>0</v>
      </c>
      <c r="M84" s="840">
        <f t="shared" si="33"/>
        <v>0</v>
      </c>
      <c r="N84" s="841">
        <f t="shared" si="33"/>
        <v>0</v>
      </c>
      <c r="O84" s="840">
        <f t="shared" si="33"/>
        <v>0</v>
      </c>
      <c r="P84" s="840">
        <f t="shared" si="33"/>
        <v>0</v>
      </c>
      <c r="Q84" s="840">
        <f t="shared" si="33"/>
        <v>0</v>
      </c>
      <c r="T84" s="541"/>
    </row>
    <row r="85" spans="1:20">
      <c r="A85" s="546">
        <f t="shared" si="20"/>
        <v>73</v>
      </c>
      <c r="B85" s="14" t="s">
        <v>351</v>
      </c>
      <c r="C85" s="14"/>
      <c r="D85" s="14"/>
      <c r="E85" s="840">
        <f t="shared" ref="E85:Q85" si="34">IF(OR(E26=0,E$30=0),0,E26/E$30)</f>
        <v>0</v>
      </c>
      <c r="F85" s="841">
        <f t="shared" si="34"/>
        <v>0</v>
      </c>
      <c r="G85" s="840">
        <f t="shared" si="34"/>
        <v>0</v>
      </c>
      <c r="H85" s="840">
        <f t="shared" si="34"/>
        <v>0</v>
      </c>
      <c r="I85" s="840">
        <f t="shared" si="34"/>
        <v>0</v>
      </c>
      <c r="J85" s="841">
        <f t="shared" si="34"/>
        <v>0</v>
      </c>
      <c r="K85" s="840">
        <f t="shared" si="34"/>
        <v>0</v>
      </c>
      <c r="L85" s="840">
        <f t="shared" si="34"/>
        <v>0</v>
      </c>
      <c r="M85" s="840">
        <f t="shared" si="34"/>
        <v>0</v>
      </c>
      <c r="N85" s="841">
        <f t="shared" si="34"/>
        <v>0</v>
      </c>
      <c r="O85" s="840">
        <f t="shared" si="34"/>
        <v>0</v>
      </c>
      <c r="P85" s="840">
        <f t="shared" si="34"/>
        <v>0</v>
      </c>
      <c r="Q85" s="840">
        <f t="shared" si="34"/>
        <v>0</v>
      </c>
      <c r="T85" s="541"/>
    </row>
    <row r="86" spans="1:20">
      <c r="A86" s="546">
        <f t="shared" si="20"/>
        <v>74</v>
      </c>
      <c r="B86" s="14" t="s">
        <v>141</v>
      </c>
      <c r="C86" s="14"/>
      <c r="D86" s="14"/>
      <c r="E86" s="840">
        <f t="shared" ref="E86:Q86" si="35">IF(OR(E27=0,E$30=0),0,E27/E$30)</f>
        <v>0</v>
      </c>
      <c r="F86" s="841">
        <f t="shared" si="35"/>
        <v>0</v>
      </c>
      <c r="G86" s="840">
        <f t="shared" si="35"/>
        <v>0</v>
      </c>
      <c r="H86" s="840">
        <f t="shared" si="35"/>
        <v>0</v>
      </c>
      <c r="I86" s="840">
        <f t="shared" si="35"/>
        <v>0</v>
      </c>
      <c r="J86" s="841">
        <f t="shared" si="35"/>
        <v>0</v>
      </c>
      <c r="K86" s="840">
        <f t="shared" si="35"/>
        <v>0</v>
      </c>
      <c r="L86" s="840">
        <f t="shared" si="35"/>
        <v>0</v>
      </c>
      <c r="M86" s="840">
        <f t="shared" si="35"/>
        <v>0</v>
      </c>
      <c r="N86" s="841">
        <f t="shared" si="35"/>
        <v>0</v>
      </c>
      <c r="O86" s="840">
        <f t="shared" si="35"/>
        <v>0</v>
      </c>
      <c r="P86" s="840">
        <f t="shared" si="35"/>
        <v>0</v>
      </c>
      <c r="Q86" s="840">
        <f t="shared" si="35"/>
        <v>0</v>
      </c>
      <c r="T86" s="541"/>
    </row>
    <row r="87" spans="1:20">
      <c r="A87" s="546">
        <f t="shared" si="20"/>
        <v>75</v>
      </c>
      <c r="B87" s="14" t="s">
        <v>383</v>
      </c>
      <c r="C87" s="14"/>
      <c r="D87" s="14"/>
      <c r="E87" s="840">
        <f t="shared" ref="E87:Q87" si="36">IF(OR(E28=0,E$30=0),0,E28/E$30)</f>
        <v>0</v>
      </c>
      <c r="F87" s="841">
        <f t="shared" si="36"/>
        <v>0</v>
      </c>
      <c r="G87" s="840">
        <f t="shared" si="36"/>
        <v>0</v>
      </c>
      <c r="H87" s="840">
        <f t="shared" si="36"/>
        <v>0</v>
      </c>
      <c r="I87" s="840">
        <f t="shared" si="36"/>
        <v>0</v>
      </c>
      <c r="J87" s="841">
        <f t="shared" si="36"/>
        <v>0</v>
      </c>
      <c r="K87" s="840">
        <f t="shared" si="36"/>
        <v>0</v>
      </c>
      <c r="L87" s="840">
        <f t="shared" si="36"/>
        <v>0</v>
      </c>
      <c r="M87" s="840">
        <f t="shared" si="36"/>
        <v>0</v>
      </c>
      <c r="N87" s="841">
        <f t="shared" si="36"/>
        <v>0</v>
      </c>
      <c r="O87" s="840">
        <f t="shared" si="36"/>
        <v>0</v>
      </c>
      <c r="P87" s="840">
        <f t="shared" si="36"/>
        <v>0</v>
      </c>
      <c r="Q87" s="840">
        <f t="shared" si="36"/>
        <v>0</v>
      </c>
      <c r="T87" s="541"/>
    </row>
    <row r="88" spans="1:20">
      <c r="A88" s="546">
        <f t="shared" si="20"/>
        <v>76</v>
      </c>
      <c r="B88" s="14" t="s">
        <v>384</v>
      </c>
      <c r="C88" s="138"/>
      <c r="D88" s="138"/>
      <c r="E88" s="838">
        <f t="shared" ref="E88:Q88" si="37">IF(OR(E29=0,E$30=0),0,E29/E$30)</f>
        <v>0</v>
      </c>
      <c r="F88" s="839">
        <f t="shared" si="37"/>
        <v>0</v>
      </c>
      <c r="G88" s="838">
        <f t="shared" si="37"/>
        <v>0</v>
      </c>
      <c r="H88" s="838">
        <f t="shared" si="37"/>
        <v>0</v>
      </c>
      <c r="I88" s="838">
        <f t="shared" si="37"/>
        <v>0</v>
      </c>
      <c r="J88" s="839">
        <f t="shared" si="37"/>
        <v>0</v>
      </c>
      <c r="K88" s="838">
        <f t="shared" si="37"/>
        <v>0</v>
      </c>
      <c r="L88" s="838">
        <f t="shared" si="37"/>
        <v>0</v>
      </c>
      <c r="M88" s="838">
        <f t="shared" si="37"/>
        <v>0</v>
      </c>
      <c r="N88" s="839">
        <f t="shared" si="37"/>
        <v>0</v>
      </c>
      <c r="O88" s="838">
        <f t="shared" si="37"/>
        <v>0</v>
      </c>
      <c r="P88" s="838">
        <f t="shared" si="37"/>
        <v>0</v>
      </c>
      <c r="Q88" s="838">
        <f t="shared" si="37"/>
        <v>0</v>
      </c>
      <c r="T88" s="541"/>
    </row>
    <row r="89" spans="1:20">
      <c r="A89" s="546">
        <f t="shared" si="20"/>
        <v>77</v>
      </c>
      <c r="B89" s="14" t="s">
        <v>385</v>
      </c>
      <c r="C89" s="138"/>
      <c r="D89" s="138"/>
      <c r="E89" s="864">
        <f>SUM(E73:E88)</f>
        <v>1</v>
      </c>
      <c r="F89" s="864">
        <f t="shared" ref="F89:Q89" si="38">SUM(F73:F88)</f>
        <v>1</v>
      </c>
      <c r="G89" s="864">
        <f t="shared" si="38"/>
        <v>0</v>
      </c>
      <c r="H89" s="864">
        <f t="shared" si="38"/>
        <v>0</v>
      </c>
      <c r="I89" s="864">
        <f t="shared" si="38"/>
        <v>1</v>
      </c>
      <c r="J89" s="864">
        <f t="shared" si="38"/>
        <v>0</v>
      </c>
      <c r="K89" s="864">
        <f t="shared" si="38"/>
        <v>0</v>
      </c>
      <c r="L89" s="864">
        <f t="shared" si="38"/>
        <v>1</v>
      </c>
      <c r="M89" s="864">
        <f t="shared" si="38"/>
        <v>0</v>
      </c>
      <c r="N89" s="864">
        <f t="shared" si="38"/>
        <v>0</v>
      </c>
      <c r="O89" s="864">
        <f t="shared" si="38"/>
        <v>1</v>
      </c>
      <c r="P89" s="864">
        <f t="shared" si="38"/>
        <v>0</v>
      </c>
      <c r="Q89" s="864">
        <f t="shared" si="38"/>
        <v>0</v>
      </c>
      <c r="T89" s="541"/>
    </row>
    <row r="90" spans="1:20">
      <c r="A90" s="546">
        <f t="shared" si="20"/>
        <v>78</v>
      </c>
      <c r="B90" s="138" t="s">
        <v>355</v>
      </c>
      <c r="C90" s="138"/>
      <c r="D90" s="138"/>
      <c r="E90" s="843"/>
      <c r="F90" s="844">
        <f t="shared" ref="F90:Q90" si="39">IFERROR(F31/$E$30,0)</f>
        <v>0.18749944996438295</v>
      </c>
      <c r="G90" s="844">
        <f t="shared" si="39"/>
        <v>0.18749944996438295</v>
      </c>
      <c r="H90" s="844">
        <f t="shared" si="39"/>
        <v>0.18749944996438295</v>
      </c>
      <c r="I90" s="844">
        <f t="shared" si="39"/>
        <v>0.458332966642922</v>
      </c>
      <c r="J90" s="844">
        <f t="shared" si="39"/>
        <v>0.458332966642922</v>
      </c>
      <c r="K90" s="844">
        <f t="shared" si="39"/>
        <v>0.458332966642922</v>
      </c>
      <c r="L90" s="844">
        <f t="shared" si="39"/>
        <v>0.72916648332146106</v>
      </c>
      <c r="M90" s="844">
        <f t="shared" si="39"/>
        <v>0.72916648332146106</v>
      </c>
      <c r="N90" s="844">
        <f t="shared" si="39"/>
        <v>0.72916648332146106</v>
      </c>
      <c r="O90" s="844">
        <f t="shared" si="39"/>
        <v>1</v>
      </c>
      <c r="P90" s="844">
        <f t="shared" si="39"/>
        <v>1</v>
      </c>
      <c r="Q90" s="844">
        <f t="shared" si="39"/>
        <v>1</v>
      </c>
      <c r="T90" s="541"/>
    </row>
    <row r="91" spans="1:20">
      <c r="A91" s="546">
        <f t="shared" si="20"/>
        <v>79</v>
      </c>
      <c r="B91" s="138"/>
      <c r="C91" s="138"/>
      <c r="D91" s="138"/>
      <c r="E91" s="843"/>
      <c r="F91" s="844"/>
      <c r="G91" s="844"/>
      <c r="H91" s="844"/>
      <c r="I91" s="844"/>
      <c r="J91" s="844"/>
      <c r="K91" s="844"/>
      <c r="L91" s="844"/>
      <c r="M91" s="844"/>
      <c r="N91" s="844"/>
      <c r="O91" s="844"/>
      <c r="P91" s="844"/>
      <c r="Q91" s="844"/>
      <c r="T91" s="541"/>
    </row>
    <row r="92" spans="1:20" ht="18.75">
      <c r="A92" s="546">
        <f t="shared" si="20"/>
        <v>80</v>
      </c>
      <c r="B92" s="121" t="s">
        <v>386</v>
      </c>
      <c r="C92" s="138"/>
      <c r="D92" s="138"/>
      <c r="E92" s="843"/>
      <c r="F92" s="844"/>
      <c r="G92" s="844"/>
      <c r="H92" s="844"/>
      <c r="I92" s="844"/>
      <c r="J92" s="844"/>
      <c r="K92" s="844"/>
      <c r="L92" s="844"/>
      <c r="M92" s="844"/>
      <c r="N92" s="844"/>
      <c r="O92" s="844"/>
      <c r="P92" s="844"/>
      <c r="Q92" s="844"/>
      <c r="T92" s="541"/>
    </row>
    <row r="93" spans="1:20">
      <c r="A93" s="546">
        <f t="shared" si="20"/>
        <v>81</v>
      </c>
      <c r="B93" s="14"/>
      <c r="C93" s="14"/>
      <c r="D93" s="14"/>
      <c r="E93" s="845"/>
      <c r="F93" s="846"/>
      <c r="G93" s="845"/>
      <c r="H93" s="845"/>
      <c r="I93" s="845"/>
      <c r="J93" s="846"/>
      <c r="K93" s="845"/>
      <c r="L93" s="845"/>
      <c r="M93" s="845"/>
      <c r="N93" s="846"/>
      <c r="O93" s="845"/>
      <c r="P93" s="845"/>
      <c r="Q93" s="845"/>
      <c r="T93" s="541"/>
    </row>
    <row r="94" spans="1:20">
      <c r="A94" s="546">
        <f t="shared" si="20"/>
        <v>82</v>
      </c>
      <c r="B94" s="127" t="s">
        <v>147</v>
      </c>
      <c r="C94" s="127"/>
      <c r="D94" s="826"/>
      <c r="E94" s="827"/>
      <c r="F94" s="827"/>
      <c r="G94" s="827"/>
      <c r="H94" s="827"/>
      <c r="I94" s="827"/>
      <c r="J94" s="827"/>
      <c r="K94" s="827"/>
      <c r="L94" s="827"/>
      <c r="M94" s="827"/>
      <c r="N94" s="827"/>
      <c r="O94" s="827"/>
      <c r="P94" s="827"/>
      <c r="Q94" s="827"/>
      <c r="T94" s="541"/>
    </row>
    <row r="95" spans="1:20">
      <c r="A95" s="546">
        <f t="shared" si="20"/>
        <v>83</v>
      </c>
      <c r="B95" s="13" t="s">
        <v>387</v>
      </c>
      <c r="C95" s="14"/>
      <c r="D95" s="14"/>
      <c r="E95" s="1331">
        <f t="shared" ref="E95:Q95" si="40">IFERROR(E35/E$30,0)</f>
        <v>0.93022714062522238</v>
      </c>
      <c r="F95" s="1331">
        <f t="shared" si="40"/>
        <v>0</v>
      </c>
      <c r="G95" s="1331">
        <f t="shared" si="40"/>
        <v>0</v>
      </c>
      <c r="H95" s="1331">
        <f t="shared" si="40"/>
        <v>0</v>
      </c>
      <c r="I95" s="1331">
        <f t="shared" si="40"/>
        <v>0.34346820018437968</v>
      </c>
      <c r="J95" s="1331">
        <f t="shared" si="40"/>
        <v>0</v>
      </c>
      <c r="K95" s="1331">
        <f t="shared" si="40"/>
        <v>0</v>
      </c>
      <c r="L95" s="1331">
        <f t="shared" si="40"/>
        <v>0.34346820018437968</v>
      </c>
      <c r="M95" s="1331">
        <f t="shared" si="40"/>
        <v>0</v>
      </c>
      <c r="N95" s="1331">
        <f t="shared" si="40"/>
        <v>0</v>
      </c>
      <c r="O95" s="1331">
        <f t="shared" si="40"/>
        <v>0.34346820018437968</v>
      </c>
      <c r="P95" s="1331">
        <f t="shared" si="40"/>
        <v>0</v>
      </c>
      <c r="Q95" s="1331">
        <f t="shared" si="40"/>
        <v>0</v>
      </c>
      <c r="T95" s="541"/>
    </row>
    <row r="96" spans="1:20">
      <c r="A96" s="546">
        <f t="shared" si="20"/>
        <v>84</v>
      </c>
      <c r="B96" s="14" t="s">
        <v>388</v>
      </c>
      <c r="C96" s="14"/>
      <c r="D96" s="14"/>
      <c r="E96" s="840">
        <f>IFERROR(#REF!/E$30,0)</f>
        <v>0</v>
      </c>
      <c r="F96" s="840">
        <f>IFERROR(#REF!/F$30,0)</f>
        <v>0</v>
      </c>
      <c r="G96" s="840">
        <f>IFERROR(#REF!/G$30,0)</f>
        <v>0</v>
      </c>
      <c r="H96" s="840">
        <f>IFERROR(#REF!/H$30,0)</f>
        <v>0</v>
      </c>
      <c r="I96" s="840">
        <f>IFERROR(#REF!/I$30,0)</f>
        <v>0</v>
      </c>
      <c r="J96" s="840">
        <f>IFERROR(#REF!/J$30,0)</f>
        <v>0</v>
      </c>
      <c r="K96" s="840">
        <f>IFERROR(#REF!/K$30,0)</f>
        <v>0</v>
      </c>
      <c r="L96" s="840">
        <f>IFERROR(#REF!/L$30,0)</f>
        <v>0</v>
      </c>
      <c r="M96" s="840">
        <f>IFERROR(#REF!/M$30,0)</f>
        <v>0</v>
      </c>
      <c r="N96" s="840">
        <f>IFERROR(#REF!/N$30,0)</f>
        <v>0</v>
      </c>
      <c r="O96" s="840">
        <f>IFERROR(#REF!/O$30,0)</f>
        <v>0</v>
      </c>
      <c r="P96" s="840">
        <f>IFERROR(#REF!/P$30,0)</f>
        <v>0</v>
      </c>
      <c r="Q96" s="840">
        <f>IFERROR(#REF!/Q$30,0)</f>
        <v>0</v>
      </c>
      <c r="T96" s="541"/>
    </row>
    <row r="97" spans="1:20">
      <c r="A97" s="546">
        <f t="shared" si="20"/>
        <v>85</v>
      </c>
      <c r="B97" s="14" t="s">
        <v>389</v>
      </c>
      <c r="C97" s="14"/>
      <c r="D97" s="14"/>
      <c r="E97" s="840">
        <f>IFERROR(#REF!/E$30,0)</f>
        <v>0</v>
      </c>
      <c r="F97" s="840">
        <f>IFERROR(#REF!/F$30,0)</f>
        <v>0</v>
      </c>
      <c r="G97" s="840">
        <f>IFERROR(#REF!/G$30,0)</f>
        <v>0</v>
      </c>
      <c r="H97" s="840">
        <f>IFERROR(#REF!/H$30,0)</f>
        <v>0</v>
      </c>
      <c r="I97" s="840">
        <f>IFERROR(#REF!/I$30,0)</f>
        <v>0</v>
      </c>
      <c r="J97" s="840">
        <f>IFERROR(#REF!/J$30,0)</f>
        <v>0</v>
      </c>
      <c r="K97" s="840">
        <f>IFERROR(#REF!/K$30,0)</f>
        <v>0</v>
      </c>
      <c r="L97" s="840">
        <f>IFERROR(#REF!/L$30,0)</f>
        <v>0</v>
      </c>
      <c r="M97" s="840">
        <f>IFERROR(#REF!/M$30,0)</f>
        <v>0</v>
      </c>
      <c r="N97" s="840">
        <f>IFERROR(#REF!/N$30,0)</f>
        <v>0</v>
      </c>
      <c r="O97" s="840">
        <f>IFERROR(#REF!/O$30,0)</f>
        <v>0</v>
      </c>
      <c r="P97" s="840">
        <f>IFERROR(#REF!/P$30,0)</f>
        <v>0</v>
      </c>
      <c r="Q97" s="840">
        <f>IFERROR(#REF!/Q$30,0)</f>
        <v>0</v>
      </c>
      <c r="T97" s="541"/>
    </row>
    <row r="98" spans="1:20">
      <c r="A98" s="546">
        <f t="shared" si="20"/>
        <v>86</v>
      </c>
      <c r="B98" s="14" t="s">
        <v>390</v>
      </c>
      <c r="C98" s="14"/>
      <c r="D98" s="14"/>
      <c r="E98" s="840">
        <f>IFERROR(#REF!/E$30,0)</f>
        <v>0</v>
      </c>
      <c r="F98" s="840">
        <f>IFERROR(#REF!/F$30,0)</f>
        <v>0</v>
      </c>
      <c r="G98" s="840">
        <f>IFERROR(#REF!/G$30,0)</f>
        <v>0</v>
      </c>
      <c r="H98" s="840">
        <f>IFERROR(#REF!/H$30,0)</f>
        <v>0</v>
      </c>
      <c r="I98" s="840">
        <f>IFERROR(#REF!/I$30,0)</f>
        <v>0</v>
      </c>
      <c r="J98" s="840">
        <f>IFERROR(#REF!/J$30,0)</f>
        <v>0</v>
      </c>
      <c r="K98" s="840">
        <f>IFERROR(#REF!/K$30,0)</f>
        <v>0</v>
      </c>
      <c r="L98" s="840">
        <f>IFERROR(#REF!/L$30,0)</f>
        <v>0</v>
      </c>
      <c r="M98" s="840">
        <f>IFERROR(#REF!/M$30,0)</f>
        <v>0</v>
      </c>
      <c r="N98" s="840">
        <f>IFERROR(#REF!/N$30,0)</f>
        <v>0</v>
      </c>
      <c r="O98" s="840">
        <f>IFERROR(#REF!/O$30,0)</f>
        <v>0</v>
      </c>
      <c r="P98" s="840">
        <f>IFERROR(#REF!/P$30,0)</f>
        <v>0</v>
      </c>
      <c r="Q98" s="840">
        <f>IFERROR(#REF!/Q$30,0)</f>
        <v>0</v>
      </c>
      <c r="T98" s="541"/>
    </row>
    <row r="99" spans="1:20">
      <c r="A99" s="546">
        <f t="shared" si="20"/>
        <v>87</v>
      </c>
      <c r="B99" s="14" t="s">
        <v>391</v>
      </c>
      <c r="C99" s="14"/>
      <c r="D99" s="14"/>
      <c r="E99" s="840">
        <f>IFERROR(#REF!/E$30,0)</f>
        <v>0</v>
      </c>
      <c r="F99" s="840">
        <f>IFERROR(#REF!/F$30,0)</f>
        <v>0</v>
      </c>
      <c r="G99" s="840">
        <f>IFERROR(#REF!/G$30,0)</f>
        <v>0</v>
      </c>
      <c r="H99" s="840">
        <f>IFERROR(#REF!/H$30,0)</f>
        <v>0</v>
      </c>
      <c r="I99" s="840">
        <f>IFERROR(#REF!/I$30,0)</f>
        <v>0</v>
      </c>
      <c r="J99" s="840">
        <f>IFERROR(#REF!/J$30,0)</f>
        <v>0</v>
      </c>
      <c r="K99" s="840">
        <f>IFERROR(#REF!/K$30,0)</f>
        <v>0</v>
      </c>
      <c r="L99" s="840">
        <f>IFERROR(#REF!/L$30,0)</f>
        <v>0</v>
      </c>
      <c r="M99" s="840">
        <f>IFERROR(#REF!/M$30,0)</f>
        <v>0</v>
      </c>
      <c r="N99" s="840">
        <f>IFERROR(#REF!/N$30,0)</f>
        <v>0</v>
      </c>
      <c r="O99" s="840">
        <f>IFERROR(#REF!/O$30,0)</f>
        <v>0</v>
      </c>
      <c r="P99" s="840">
        <f>IFERROR(#REF!/P$30,0)</f>
        <v>0</v>
      </c>
      <c r="Q99" s="840">
        <f>IFERROR(#REF!/Q$30,0)</f>
        <v>0</v>
      </c>
      <c r="T99" s="541"/>
    </row>
    <row r="100" spans="1:20">
      <c r="A100" s="546">
        <f t="shared" si="20"/>
        <v>88</v>
      </c>
      <c r="B100" s="14" t="s">
        <v>359</v>
      </c>
      <c r="C100" s="14"/>
      <c r="D100" s="14"/>
      <c r="E100" s="840">
        <f t="shared" ref="E100:Q100" si="41">IFERROR(E36/E$30,0)</f>
        <v>5.9681403076346867E-2</v>
      </c>
      <c r="F100" s="840">
        <f t="shared" si="41"/>
        <v>0</v>
      </c>
      <c r="G100" s="840">
        <f t="shared" si="41"/>
        <v>0</v>
      </c>
      <c r="H100" s="840">
        <f t="shared" si="41"/>
        <v>0</v>
      </c>
      <c r="I100" s="840">
        <f t="shared" si="41"/>
        <v>2.2036195448875934E-2</v>
      </c>
      <c r="J100" s="840">
        <f t="shared" si="41"/>
        <v>0</v>
      </c>
      <c r="K100" s="840">
        <f t="shared" si="41"/>
        <v>0</v>
      </c>
      <c r="L100" s="840">
        <f t="shared" si="41"/>
        <v>2.2036195448875934E-2</v>
      </c>
      <c r="M100" s="840">
        <f t="shared" si="41"/>
        <v>0</v>
      </c>
      <c r="N100" s="840">
        <f t="shared" si="41"/>
        <v>0</v>
      </c>
      <c r="O100" s="840">
        <f t="shared" si="41"/>
        <v>2.2036195448875934E-2</v>
      </c>
      <c r="P100" s="840">
        <f t="shared" si="41"/>
        <v>0</v>
      </c>
      <c r="Q100" s="840">
        <f t="shared" si="41"/>
        <v>0</v>
      </c>
      <c r="T100" s="541"/>
    </row>
    <row r="101" spans="1:20">
      <c r="A101" s="546">
        <f t="shared" si="20"/>
        <v>89</v>
      </c>
      <c r="B101" s="14" t="s">
        <v>392</v>
      </c>
      <c r="C101" s="14"/>
      <c r="D101" s="14"/>
      <c r="E101" s="840">
        <f t="shared" ref="E101:Q101" si="42">IFERROR(E37/E$30,0)</f>
        <v>1.6921464964795442E-2</v>
      </c>
      <c r="F101" s="840">
        <f t="shared" si="42"/>
        <v>7.5206731575345126E-3</v>
      </c>
      <c r="G101" s="840">
        <f t="shared" si="42"/>
        <v>0</v>
      </c>
      <c r="H101" s="840">
        <f t="shared" si="42"/>
        <v>0</v>
      </c>
      <c r="I101" s="840">
        <f t="shared" si="42"/>
        <v>5.2066010798557816E-3</v>
      </c>
      <c r="J101" s="840">
        <f t="shared" si="42"/>
        <v>0</v>
      </c>
      <c r="K101" s="840">
        <f t="shared" si="42"/>
        <v>0</v>
      </c>
      <c r="L101" s="840">
        <f t="shared" si="42"/>
        <v>5.2066010798557816E-3</v>
      </c>
      <c r="M101" s="840">
        <f t="shared" si="42"/>
        <v>0</v>
      </c>
      <c r="N101" s="840">
        <f t="shared" si="42"/>
        <v>0</v>
      </c>
      <c r="O101" s="840">
        <f t="shared" si="42"/>
        <v>5.2066010798557816E-3</v>
      </c>
      <c r="P101" s="840">
        <f t="shared" si="42"/>
        <v>0</v>
      </c>
      <c r="Q101" s="840">
        <f t="shared" si="42"/>
        <v>0</v>
      </c>
      <c r="T101" s="541"/>
    </row>
    <row r="102" spans="1:20">
      <c r="A102" s="546">
        <f t="shared" si="20"/>
        <v>90</v>
      </c>
      <c r="B102" s="14" t="s">
        <v>393</v>
      </c>
      <c r="C102" s="14"/>
      <c r="D102" s="14"/>
      <c r="E102" s="840">
        <f>IFERROR(#REF!/E$30,0)</f>
        <v>0</v>
      </c>
      <c r="F102" s="840">
        <f>IFERROR(#REF!/F$30,0)</f>
        <v>0</v>
      </c>
      <c r="G102" s="840">
        <f>IFERROR(#REF!/G$30,0)</f>
        <v>0</v>
      </c>
      <c r="H102" s="840">
        <f>IFERROR(#REF!/H$30,0)</f>
        <v>0</v>
      </c>
      <c r="I102" s="840">
        <f>IFERROR(#REF!/I$30,0)</f>
        <v>0</v>
      </c>
      <c r="J102" s="840">
        <f>IFERROR(#REF!/J$30,0)</f>
        <v>0</v>
      </c>
      <c r="K102" s="840">
        <f>IFERROR(#REF!/K$30,0)</f>
        <v>0</v>
      </c>
      <c r="L102" s="840">
        <f>IFERROR(#REF!/L$30,0)</f>
        <v>0</v>
      </c>
      <c r="M102" s="840">
        <f>IFERROR(#REF!/M$30,0)</f>
        <v>0</v>
      </c>
      <c r="N102" s="840">
        <f>IFERROR(#REF!/N$30,0)</f>
        <v>0</v>
      </c>
      <c r="O102" s="840">
        <f>IFERROR(#REF!/O$30,0)</f>
        <v>0</v>
      </c>
      <c r="P102" s="840">
        <f>IFERROR(#REF!/P$30,0)</f>
        <v>0</v>
      </c>
      <c r="Q102" s="840">
        <f>IFERROR(#REF!/Q$30,0)</f>
        <v>0</v>
      </c>
      <c r="T102" s="541"/>
    </row>
    <row r="103" spans="1:20">
      <c r="A103" s="546">
        <f t="shared" si="20"/>
        <v>91</v>
      </c>
      <c r="B103" s="14" t="s">
        <v>140</v>
      </c>
      <c r="C103" s="14"/>
      <c r="D103" s="14"/>
      <c r="E103" s="840">
        <f t="shared" ref="E103:Q103" si="43">IFERROR(E38/E$30,0)</f>
        <v>8.1154793566157693E-2</v>
      </c>
      <c r="F103" s="840">
        <f t="shared" si="43"/>
        <v>0</v>
      </c>
      <c r="G103" s="840">
        <f t="shared" si="43"/>
        <v>0</v>
      </c>
      <c r="H103" s="840">
        <f t="shared" si="43"/>
        <v>0</v>
      </c>
      <c r="I103" s="840">
        <f t="shared" si="43"/>
        <v>2.9964826570000536E-2</v>
      </c>
      <c r="J103" s="840">
        <f t="shared" si="43"/>
        <v>0</v>
      </c>
      <c r="K103" s="840">
        <f t="shared" si="43"/>
        <v>0</v>
      </c>
      <c r="L103" s="840">
        <f t="shared" si="43"/>
        <v>2.9964826570000536E-2</v>
      </c>
      <c r="M103" s="840">
        <f t="shared" si="43"/>
        <v>0</v>
      </c>
      <c r="N103" s="840">
        <f t="shared" si="43"/>
        <v>0</v>
      </c>
      <c r="O103" s="840">
        <f t="shared" si="43"/>
        <v>2.9964826570000536E-2</v>
      </c>
      <c r="P103" s="840">
        <f t="shared" si="43"/>
        <v>0</v>
      </c>
      <c r="Q103" s="840">
        <f t="shared" si="43"/>
        <v>0</v>
      </c>
      <c r="T103" s="541"/>
    </row>
    <row r="104" spans="1:20">
      <c r="A104" s="546">
        <f t="shared" si="20"/>
        <v>92</v>
      </c>
      <c r="B104" s="192" t="s">
        <v>362</v>
      </c>
      <c r="C104" s="14"/>
      <c r="D104" s="14"/>
      <c r="E104" s="840">
        <f t="shared" ref="E104:Q104" si="44">IFERROR(E39/E$30,0)</f>
        <v>0</v>
      </c>
      <c r="F104" s="840">
        <f t="shared" si="44"/>
        <v>0</v>
      </c>
      <c r="G104" s="840">
        <f t="shared" si="44"/>
        <v>0</v>
      </c>
      <c r="H104" s="840">
        <f t="shared" si="44"/>
        <v>0</v>
      </c>
      <c r="I104" s="840">
        <f t="shared" si="44"/>
        <v>0</v>
      </c>
      <c r="J104" s="840">
        <f t="shared" si="44"/>
        <v>0</v>
      </c>
      <c r="K104" s="840">
        <f t="shared" si="44"/>
        <v>0</v>
      </c>
      <c r="L104" s="840">
        <f t="shared" si="44"/>
        <v>0</v>
      </c>
      <c r="M104" s="840">
        <f t="shared" si="44"/>
        <v>0</v>
      </c>
      <c r="N104" s="840">
        <f t="shared" si="44"/>
        <v>0</v>
      </c>
      <c r="O104" s="840">
        <f t="shared" si="44"/>
        <v>0</v>
      </c>
      <c r="P104" s="840">
        <f t="shared" si="44"/>
        <v>0</v>
      </c>
      <c r="Q104" s="840">
        <f t="shared" si="44"/>
        <v>0</v>
      </c>
      <c r="T104" s="541"/>
    </row>
    <row r="105" spans="1:20">
      <c r="A105" s="546">
        <f t="shared" si="20"/>
        <v>93</v>
      </c>
      <c r="B105" s="46" t="s">
        <v>104</v>
      </c>
      <c r="C105" s="14"/>
      <c r="D105" s="14"/>
      <c r="E105" s="840">
        <f t="shared" ref="E105:Q105" si="45">IFERROR(E41/E$30,0)</f>
        <v>1.3539338265958908E-3</v>
      </c>
      <c r="F105" s="840">
        <f t="shared" si="45"/>
        <v>7.2210015914877697E-3</v>
      </c>
      <c r="G105" s="840">
        <f t="shared" si="45"/>
        <v>0</v>
      </c>
      <c r="H105" s="840">
        <f t="shared" si="45"/>
        <v>0</v>
      </c>
      <c r="I105" s="840">
        <f t="shared" si="45"/>
        <v>0</v>
      </c>
      <c r="J105" s="840">
        <f t="shared" si="45"/>
        <v>0</v>
      </c>
      <c r="K105" s="840">
        <f t="shared" si="45"/>
        <v>0</v>
      </c>
      <c r="L105" s="840">
        <f t="shared" si="45"/>
        <v>0</v>
      </c>
      <c r="M105" s="840">
        <f t="shared" si="45"/>
        <v>0</v>
      </c>
      <c r="N105" s="840">
        <f t="shared" si="45"/>
        <v>0</v>
      </c>
      <c r="O105" s="840">
        <f t="shared" si="45"/>
        <v>0</v>
      </c>
      <c r="P105" s="840">
        <f t="shared" si="45"/>
        <v>0</v>
      </c>
      <c r="Q105" s="840">
        <f t="shared" si="45"/>
        <v>0</v>
      </c>
      <c r="T105" s="541"/>
    </row>
    <row r="106" spans="1:20">
      <c r="A106" s="546">
        <f t="shared" si="20"/>
        <v>94</v>
      </c>
      <c r="B106" s="14" t="s">
        <v>394</v>
      </c>
      <c r="C106" s="14"/>
      <c r="D106" s="14"/>
      <c r="E106" s="840">
        <f t="shared" ref="E106:Q106" si="46">IFERROR(E42/E$30,0)</f>
        <v>0.15727363026429197</v>
      </c>
      <c r="F106" s="840">
        <f t="shared" si="46"/>
        <v>6.9902905906397361E-2</v>
      </c>
      <c r="G106" s="840">
        <f t="shared" si="46"/>
        <v>0</v>
      </c>
      <c r="H106" s="840">
        <f t="shared" si="46"/>
        <v>0</v>
      </c>
      <c r="I106" s="840">
        <f t="shared" si="46"/>
        <v>4.8391645178112307E-2</v>
      </c>
      <c r="J106" s="840">
        <f t="shared" si="46"/>
        <v>0</v>
      </c>
      <c r="K106" s="840">
        <f t="shared" si="46"/>
        <v>0</v>
      </c>
      <c r="L106" s="840">
        <f t="shared" si="46"/>
        <v>4.8391645178112307E-2</v>
      </c>
      <c r="M106" s="840">
        <f t="shared" si="46"/>
        <v>0</v>
      </c>
      <c r="N106" s="840">
        <f t="shared" si="46"/>
        <v>0</v>
      </c>
      <c r="O106" s="840">
        <f t="shared" si="46"/>
        <v>4.8391645178112307E-2</v>
      </c>
      <c r="P106" s="840">
        <f t="shared" si="46"/>
        <v>0</v>
      </c>
      <c r="Q106" s="840">
        <f t="shared" si="46"/>
        <v>0</v>
      </c>
      <c r="T106" s="541"/>
    </row>
    <row r="107" spans="1:20">
      <c r="A107" s="546">
        <f t="shared" si="20"/>
        <v>95</v>
      </c>
      <c r="B107" s="14" t="s">
        <v>395</v>
      </c>
      <c r="C107" s="14"/>
      <c r="D107" s="14"/>
      <c r="E107" s="840">
        <f>IFERROR(#REF!/E$30,0)</f>
        <v>0</v>
      </c>
      <c r="F107" s="840">
        <f>IFERROR(#REF!/F$30,0)</f>
        <v>0</v>
      </c>
      <c r="G107" s="840">
        <f>IFERROR(#REF!/G$30,0)</f>
        <v>0</v>
      </c>
      <c r="H107" s="840">
        <f>IFERROR(#REF!/H$30,0)</f>
        <v>0</v>
      </c>
      <c r="I107" s="840">
        <f>IFERROR(#REF!/I$30,0)</f>
        <v>0</v>
      </c>
      <c r="J107" s="840">
        <f>IFERROR(#REF!/J$30,0)</f>
        <v>0</v>
      </c>
      <c r="K107" s="840">
        <f>IFERROR(#REF!/K$30,0)</f>
        <v>0</v>
      </c>
      <c r="L107" s="840">
        <f>IFERROR(#REF!/L$30,0)</f>
        <v>0</v>
      </c>
      <c r="M107" s="840">
        <f>IFERROR(#REF!/M$30,0)</f>
        <v>0</v>
      </c>
      <c r="N107" s="840">
        <f>IFERROR(#REF!/N$30,0)</f>
        <v>0</v>
      </c>
      <c r="O107" s="840">
        <f>IFERROR(#REF!/O$30,0)</f>
        <v>0</v>
      </c>
      <c r="P107" s="840">
        <f>IFERROR(#REF!/P$30,0)</f>
        <v>0</v>
      </c>
      <c r="Q107" s="840">
        <f>IFERROR(#REF!/Q$30,0)</f>
        <v>0</v>
      </c>
      <c r="T107" s="541"/>
    </row>
    <row r="108" spans="1:20">
      <c r="A108" s="546">
        <f t="shared" si="20"/>
        <v>96</v>
      </c>
      <c r="B108" s="14" t="s">
        <v>396</v>
      </c>
      <c r="C108" s="14"/>
      <c r="D108" s="14"/>
      <c r="E108" s="840">
        <f>IFERROR(#REF!/E$30,0)</f>
        <v>0</v>
      </c>
      <c r="F108" s="840">
        <f>IFERROR(#REF!/F$30,0)</f>
        <v>0</v>
      </c>
      <c r="G108" s="840">
        <f>IFERROR(#REF!/G$30,0)</f>
        <v>0</v>
      </c>
      <c r="H108" s="840">
        <f>IFERROR(#REF!/H$30,0)</f>
        <v>0</v>
      </c>
      <c r="I108" s="840">
        <f>IFERROR(#REF!/I$30,0)</f>
        <v>0</v>
      </c>
      <c r="J108" s="840">
        <f>IFERROR(#REF!/J$30,0)</f>
        <v>0</v>
      </c>
      <c r="K108" s="840">
        <f>IFERROR(#REF!/K$30,0)</f>
        <v>0</v>
      </c>
      <c r="L108" s="840">
        <f>IFERROR(#REF!/L$30,0)</f>
        <v>0</v>
      </c>
      <c r="M108" s="840">
        <f>IFERROR(#REF!/M$30,0)</f>
        <v>0</v>
      </c>
      <c r="N108" s="840">
        <f>IFERROR(#REF!/N$30,0)</f>
        <v>0</v>
      </c>
      <c r="O108" s="840">
        <f>IFERROR(#REF!/O$30,0)</f>
        <v>0</v>
      </c>
      <c r="P108" s="840">
        <f>IFERROR(#REF!/P$30,0)</f>
        <v>0</v>
      </c>
      <c r="Q108" s="840">
        <f>IFERROR(#REF!/Q$30,0)</f>
        <v>0</v>
      </c>
      <c r="T108" s="541"/>
    </row>
    <row r="109" spans="1:20">
      <c r="A109" s="546">
        <f t="shared" si="20"/>
        <v>97</v>
      </c>
      <c r="B109" s="192" t="s">
        <v>397</v>
      </c>
      <c r="C109" s="14"/>
      <c r="D109" s="14"/>
      <c r="E109" s="840">
        <f>IFERROR(#REF!/E$30,0)</f>
        <v>0</v>
      </c>
      <c r="F109" s="840">
        <f>IFERROR(#REF!/F$30,0)</f>
        <v>0</v>
      </c>
      <c r="G109" s="840">
        <f>IFERROR(#REF!/G$30,0)</f>
        <v>0</v>
      </c>
      <c r="H109" s="840">
        <f>IFERROR(#REF!/H$30,0)</f>
        <v>0</v>
      </c>
      <c r="I109" s="840">
        <f>IFERROR(#REF!/I$30,0)</f>
        <v>0</v>
      </c>
      <c r="J109" s="840">
        <f>IFERROR(#REF!/J$30,0)</f>
        <v>0</v>
      </c>
      <c r="K109" s="840">
        <f>IFERROR(#REF!/K$30,0)</f>
        <v>0</v>
      </c>
      <c r="L109" s="840">
        <f>IFERROR(#REF!/L$30,0)</f>
        <v>0</v>
      </c>
      <c r="M109" s="840">
        <f>IFERROR(#REF!/M$30,0)</f>
        <v>0</v>
      </c>
      <c r="N109" s="840">
        <f>IFERROR(#REF!/N$30,0)</f>
        <v>0</v>
      </c>
      <c r="O109" s="840">
        <f>IFERROR(#REF!/O$30,0)</f>
        <v>0</v>
      </c>
      <c r="P109" s="840">
        <f>IFERROR(#REF!/P$30,0)</f>
        <v>0</v>
      </c>
      <c r="Q109" s="840">
        <f>IFERROR(#REF!/Q$30,0)</f>
        <v>0</v>
      </c>
      <c r="T109" s="541"/>
    </row>
    <row r="110" spans="1:20">
      <c r="A110" s="546">
        <f t="shared" si="20"/>
        <v>98</v>
      </c>
      <c r="B110" s="192" t="s">
        <v>398</v>
      </c>
      <c r="C110" s="14"/>
      <c r="D110" s="14"/>
      <c r="E110" s="840">
        <f>IFERROR(#REF!/E$30,0)</f>
        <v>0</v>
      </c>
      <c r="F110" s="840">
        <f>IFERROR(#REF!/F$30,0)</f>
        <v>0</v>
      </c>
      <c r="G110" s="840">
        <f>IFERROR(#REF!/G$30,0)</f>
        <v>0</v>
      </c>
      <c r="H110" s="840">
        <f>IFERROR(#REF!/H$30,0)</f>
        <v>0</v>
      </c>
      <c r="I110" s="840">
        <f>IFERROR(#REF!/I$30,0)</f>
        <v>0</v>
      </c>
      <c r="J110" s="840">
        <f>IFERROR(#REF!/J$30,0)</f>
        <v>0</v>
      </c>
      <c r="K110" s="840">
        <f>IFERROR(#REF!/K$30,0)</f>
        <v>0</v>
      </c>
      <c r="L110" s="840">
        <f>IFERROR(#REF!/L$30,0)</f>
        <v>0</v>
      </c>
      <c r="M110" s="840">
        <f>IFERROR(#REF!/M$30,0)</f>
        <v>0</v>
      </c>
      <c r="N110" s="840">
        <f>IFERROR(#REF!/N$30,0)</f>
        <v>0</v>
      </c>
      <c r="O110" s="840">
        <f>IFERROR(#REF!/O$30,0)</f>
        <v>0</v>
      </c>
      <c r="P110" s="840">
        <f>IFERROR(#REF!/P$30,0)</f>
        <v>0</v>
      </c>
      <c r="Q110" s="840">
        <f>IFERROR(#REF!/Q$30,0)</f>
        <v>0</v>
      </c>
      <c r="T110" s="541"/>
    </row>
    <row r="111" spans="1:20">
      <c r="A111" s="546">
        <f t="shared" si="20"/>
        <v>99</v>
      </c>
      <c r="B111" s="192" t="s">
        <v>399</v>
      </c>
      <c r="C111" s="14"/>
      <c r="D111" s="14"/>
      <c r="E111" s="840">
        <f>IFERROR(#REF!/E$30,0)</f>
        <v>0</v>
      </c>
      <c r="F111" s="840">
        <f>IFERROR(#REF!/F$30,0)</f>
        <v>0</v>
      </c>
      <c r="G111" s="840">
        <f>IFERROR(#REF!/G$30,0)</f>
        <v>0</v>
      </c>
      <c r="H111" s="840">
        <f>IFERROR(#REF!/H$30,0)</f>
        <v>0</v>
      </c>
      <c r="I111" s="840">
        <f>IFERROR(#REF!/I$30,0)</f>
        <v>0</v>
      </c>
      <c r="J111" s="840">
        <f>IFERROR(#REF!/J$30,0)</f>
        <v>0</v>
      </c>
      <c r="K111" s="840">
        <f>IFERROR(#REF!/K$30,0)</f>
        <v>0</v>
      </c>
      <c r="L111" s="840">
        <f>IFERROR(#REF!/L$30,0)</f>
        <v>0</v>
      </c>
      <c r="M111" s="840">
        <f>IFERROR(#REF!/M$30,0)</f>
        <v>0</v>
      </c>
      <c r="N111" s="840">
        <f>IFERROR(#REF!/N$30,0)</f>
        <v>0</v>
      </c>
      <c r="O111" s="840">
        <f>IFERROR(#REF!/O$30,0)</f>
        <v>0</v>
      </c>
      <c r="P111" s="840">
        <f>IFERROR(#REF!/P$30,0)</f>
        <v>0</v>
      </c>
      <c r="Q111" s="840">
        <f>IFERROR(#REF!/Q$30,0)</f>
        <v>0</v>
      </c>
      <c r="T111" s="541"/>
    </row>
    <row r="112" spans="1:20">
      <c r="A112" s="546">
        <f t="shared" si="20"/>
        <v>100</v>
      </c>
      <c r="B112" s="14" t="s">
        <v>365</v>
      </c>
      <c r="C112" s="14"/>
      <c r="D112" s="14"/>
      <c r="E112" s="840">
        <f t="shared" ref="E112:Q112" si="47">IFERROR(E43/E$30,0)</f>
        <v>0</v>
      </c>
      <c r="F112" s="840">
        <f t="shared" si="47"/>
        <v>0</v>
      </c>
      <c r="G112" s="840">
        <f t="shared" si="47"/>
        <v>0</v>
      </c>
      <c r="H112" s="840">
        <f t="shared" si="47"/>
        <v>0</v>
      </c>
      <c r="I112" s="840">
        <f t="shared" si="47"/>
        <v>0</v>
      </c>
      <c r="J112" s="840">
        <f t="shared" si="47"/>
        <v>0</v>
      </c>
      <c r="K112" s="840">
        <f t="shared" si="47"/>
        <v>0</v>
      </c>
      <c r="L112" s="840">
        <f t="shared" si="47"/>
        <v>0</v>
      </c>
      <c r="M112" s="840">
        <f t="shared" si="47"/>
        <v>0</v>
      </c>
      <c r="N112" s="840">
        <f t="shared" si="47"/>
        <v>0</v>
      </c>
      <c r="O112" s="840">
        <f t="shared" si="47"/>
        <v>0</v>
      </c>
      <c r="P112" s="840">
        <f t="shared" si="47"/>
        <v>0</v>
      </c>
      <c r="Q112" s="840">
        <f t="shared" si="47"/>
        <v>0</v>
      </c>
      <c r="T112" s="541"/>
    </row>
    <row r="113" spans="1:20">
      <c r="A113" s="546">
        <f t="shared" si="20"/>
        <v>101</v>
      </c>
      <c r="B113" s="192" t="s">
        <v>100</v>
      </c>
      <c r="C113" s="14"/>
      <c r="D113" s="14"/>
      <c r="E113" s="840">
        <f t="shared" ref="E113:Q113" si="48">IFERROR(E44/E$30,0)</f>
        <v>0.15824778565252773</v>
      </c>
      <c r="F113" s="840">
        <f t="shared" si="48"/>
        <v>0.74715703467123951</v>
      </c>
      <c r="G113" s="840">
        <f t="shared" si="48"/>
        <v>0</v>
      </c>
      <c r="H113" s="840">
        <f t="shared" si="48"/>
        <v>0</v>
      </c>
      <c r="I113" s="840">
        <f t="shared" si="48"/>
        <v>6.703842580976096E-3</v>
      </c>
      <c r="J113" s="840">
        <f t="shared" si="48"/>
        <v>0</v>
      </c>
      <c r="K113" s="840">
        <f t="shared" si="48"/>
        <v>0</v>
      </c>
      <c r="L113" s="840">
        <f t="shared" si="48"/>
        <v>6.703842580976096E-3</v>
      </c>
      <c r="M113" s="840">
        <f t="shared" si="48"/>
        <v>0</v>
      </c>
      <c r="N113" s="840">
        <f t="shared" si="48"/>
        <v>0</v>
      </c>
      <c r="O113" s="840">
        <f t="shared" si="48"/>
        <v>6.703842580976096E-3</v>
      </c>
      <c r="P113" s="840">
        <f t="shared" si="48"/>
        <v>0</v>
      </c>
      <c r="Q113" s="840">
        <f t="shared" si="48"/>
        <v>0</v>
      </c>
      <c r="T113" s="541"/>
    </row>
    <row r="114" spans="1:20">
      <c r="A114" s="546">
        <f t="shared" si="20"/>
        <v>102</v>
      </c>
      <c r="B114" s="192" t="s">
        <v>151</v>
      </c>
      <c r="C114" s="14"/>
      <c r="D114" s="14"/>
      <c r="E114" s="838">
        <f t="shared" ref="E114:Q114" si="49">IFERROR(E46/E$30,0)</f>
        <v>1.6003497830363429E-2</v>
      </c>
      <c r="F114" s="838">
        <f t="shared" si="49"/>
        <v>7.1126865676154529E-3</v>
      </c>
      <c r="G114" s="838">
        <f t="shared" si="49"/>
        <v>0</v>
      </c>
      <c r="H114" s="838">
        <f t="shared" si="49"/>
        <v>0</v>
      </c>
      <c r="I114" s="838">
        <f t="shared" si="49"/>
        <v>4.9241498450868417E-3</v>
      </c>
      <c r="J114" s="838">
        <f t="shared" si="49"/>
        <v>0</v>
      </c>
      <c r="K114" s="838">
        <f t="shared" si="49"/>
        <v>0</v>
      </c>
      <c r="L114" s="838">
        <f t="shared" si="49"/>
        <v>4.9241498450868417E-3</v>
      </c>
      <c r="M114" s="838">
        <f t="shared" si="49"/>
        <v>0</v>
      </c>
      <c r="N114" s="838">
        <f t="shared" si="49"/>
        <v>0</v>
      </c>
      <c r="O114" s="838">
        <f t="shared" si="49"/>
        <v>4.9241498450868417E-3</v>
      </c>
      <c r="P114" s="838">
        <f t="shared" si="49"/>
        <v>0</v>
      </c>
      <c r="Q114" s="838">
        <f t="shared" si="49"/>
        <v>0</v>
      </c>
      <c r="T114" s="541"/>
    </row>
    <row r="115" spans="1:20">
      <c r="A115" s="546">
        <f t="shared" si="20"/>
        <v>103</v>
      </c>
      <c r="B115" s="138" t="s">
        <v>366</v>
      </c>
      <c r="C115" s="14"/>
      <c r="D115" s="138"/>
      <c r="E115" s="853">
        <f t="shared" ref="E115:Q115" si="50">IFERROR(E44/E$30,0)</f>
        <v>0.15824778565252773</v>
      </c>
      <c r="F115" s="853">
        <f t="shared" si="50"/>
        <v>0.74715703467123951</v>
      </c>
      <c r="G115" s="853">
        <f t="shared" si="50"/>
        <v>0</v>
      </c>
      <c r="H115" s="853">
        <f t="shared" si="50"/>
        <v>0</v>
      </c>
      <c r="I115" s="853">
        <f t="shared" si="50"/>
        <v>6.703842580976096E-3</v>
      </c>
      <c r="J115" s="853">
        <f t="shared" si="50"/>
        <v>0</v>
      </c>
      <c r="K115" s="853">
        <f t="shared" si="50"/>
        <v>0</v>
      </c>
      <c r="L115" s="853">
        <f t="shared" si="50"/>
        <v>6.703842580976096E-3</v>
      </c>
      <c r="M115" s="853">
        <f t="shared" si="50"/>
        <v>0</v>
      </c>
      <c r="N115" s="853">
        <f t="shared" si="50"/>
        <v>0</v>
      </c>
      <c r="O115" s="853">
        <f t="shared" si="50"/>
        <v>6.703842580976096E-3</v>
      </c>
      <c r="P115" s="853">
        <f t="shared" si="50"/>
        <v>0</v>
      </c>
      <c r="Q115" s="853">
        <f t="shared" si="50"/>
        <v>0</v>
      </c>
      <c r="T115" s="541"/>
    </row>
    <row r="116" spans="1:20">
      <c r="A116" s="546">
        <f t="shared" si="20"/>
        <v>104</v>
      </c>
      <c r="B116" s="138" t="s">
        <v>368</v>
      </c>
      <c r="C116" s="14"/>
      <c r="D116" s="16"/>
      <c r="E116" s="851"/>
      <c r="F116" s="852">
        <f t="shared" ref="F116:Q116" si="51">IFERROR(F46/F$30,0)</f>
        <v>7.1126865676154529E-3</v>
      </c>
      <c r="G116" s="852">
        <f t="shared" si="51"/>
        <v>0</v>
      </c>
      <c r="H116" s="852">
        <f t="shared" si="51"/>
        <v>0</v>
      </c>
      <c r="I116" s="852">
        <f t="shared" si="51"/>
        <v>4.9241498450868417E-3</v>
      </c>
      <c r="J116" s="852">
        <f t="shared" si="51"/>
        <v>0</v>
      </c>
      <c r="K116" s="852">
        <f t="shared" si="51"/>
        <v>0</v>
      </c>
      <c r="L116" s="852">
        <f t="shared" si="51"/>
        <v>4.9241498450868417E-3</v>
      </c>
      <c r="M116" s="852">
        <f t="shared" si="51"/>
        <v>0</v>
      </c>
      <c r="N116" s="852">
        <f t="shared" si="51"/>
        <v>0</v>
      </c>
      <c r="O116" s="852">
        <f t="shared" si="51"/>
        <v>4.9241498450868417E-3</v>
      </c>
      <c r="P116" s="852">
        <f t="shared" si="51"/>
        <v>0</v>
      </c>
      <c r="Q116" s="852">
        <f t="shared" si="51"/>
        <v>0</v>
      </c>
      <c r="T116" s="541"/>
    </row>
    <row r="117" spans="1:20">
      <c r="A117" s="546">
        <f t="shared" si="20"/>
        <v>105</v>
      </c>
      <c r="B117" s="563" t="s">
        <v>400</v>
      </c>
      <c r="C117" s="563"/>
      <c r="D117" s="139"/>
      <c r="E117" s="848"/>
      <c r="F117" s="849">
        <f t="shared" ref="F117:Q117" si="52">IFERROR(F47/F64,0)</f>
        <v>0</v>
      </c>
      <c r="G117" s="849">
        <f t="shared" si="52"/>
        <v>4.1310441062679475</v>
      </c>
      <c r="H117" s="849">
        <f t="shared" si="52"/>
        <v>-1.3193808465649097</v>
      </c>
      <c r="I117" s="849">
        <f t="shared" si="52"/>
        <v>-0.56885045356779695</v>
      </c>
      <c r="J117" s="849">
        <f t="shared" si="52"/>
        <v>-1.7027074737619361</v>
      </c>
      <c r="K117" s="849">
        <f t="shared" si="52"/>
        <v>-0.63000065315685605</v>
      </c>
      <c r="L117" s="849">
        <f t="shared" si="52"/>
        <v>-0.38650331331875282</v>
      </c>
      <c r="M117" s="849">
        <f t="shared" si="52"/>
        <v>-0.70588138274064061</v>
      </c>
      <c r="N117" s="849">
        <f t="shared" si="52"/>
        <v>-0.41379277004980458</v>
      </c>
      <c r="O117" s="849">
        <f t="shared" si="52"/>
        <v>-0.29268276003082666</v>
      </c>
      <c r="P117" s="849">
        <f t="shared" si="52"/>
        <v>-0.4452285838047767</v>
      </c>
      <c r="Q117" s="849">
        <f t="shared" si="52"/>
        <v>-3.9134037958100575E-2</v>
      </c>
      <c r="T117" s="541"/>
    </row>
    <row r="118" spans="1:20">
      <c r="A118" s="546">
        <f t="shared" si="20"/>
        <v>106</v>
      </c>
      <c r="B118" s="13" t="s">
        <v>401</v>
      </c>
      <c r="C118" s="13"/>
      <c r="D118" s="13"/>
      <c r="E118" s="850"/>
      <c r="F118" s="847">
        <f t="shared" ref="F118:Q118" si="53">IFERROR(F47/F66,0)</f>
        <v>5.2078757565657385</v>
      </c>
      <c r="G118" s="847">
        <f t="shared" si="53"/>
        <v>-1.3193822782624265</v>
      </c>
      <c r="H118" s="847">
        <f t="shared" si="53"/>
        <v>-0.56885045356779695</v>
      </c>
      <c r="I118" s="847">
        <f t="shared" si="53"/>
        <v>-1.7027074737619361</v>
      </c>
      <c r="J118" s="847">
        <f t="shared" si="53"/>
        <v>-0.63000065315685605</v>
      </c>
      <c r="K118" s="847">
        <f t="shared" si="53"/>
        <v>-0.38650331331875282</v>
      </c>
      <c r="L118" s="847">
        <f t="shared" si="53"/>
        <v>-0.70588138274064061</v>
      </c>
      <c r="M118" s="847">
        <f t="shared" si="53"/>
        <v>-0.41379277004980458</v>
      </c>
      <c r="N118" s="847">
        <f t="shared" si="53"/>
        <v>-0.29268276003082666</v>
      </c>
      <c r="O118" s="847">
        <f t="shared" si="53"/>
        <v>-0.4452285838047767</v>
      </c>
      <c r="P118" s="847">
        <f t="shared" si="53"/>
        <v>-0.3080679338853422</v>
      </c>
      <c r="Q118" s="847">
        <f t="shared" si="53"/>
        <v>-3.7660240670201697E-2</v>
      </c>
      <c r="T118" s="541"/>
    </row>
    <row r="119" spans="1:20">
      <c r="A119" s="546">
        <f t="shared" si="20"/>
        <v>107</v>
      </c>
      <c r="B119" s="193" t="s">
        <v>377</v>
      </c>
      <c r="C119" s="128"/>
      <c r="D119" s="128"/>
      <c r="E119" s="128"/>
      <c r="F119" s="128"/>
      <c r="G119" s="128"/>
      <c r="H119" s="128"/>
      <c r="I119" s="128"/>
      <c r="J119" s="128"/>
      <c r="K119" s="128"/>
      <c r="L119" s="128"/>
      <c r="M119" s="128"/>
      <c r="N119" s="128"/>
      <c r="O119" s="128"/>
      <c r="P119" s="128"/>
      <c r="Q119" s="128"/>
      <c r="T119" s="541"/>
    </row>
    <row r="120" spans="1:20">
      <c r="A120" s="546">
        <f t="shared" si="20"/>
        <v>108</v>
      </c>
      <c r="B120" s="13"/>
      <c r="C120" s="13"/>
      <c r="D120" s="13"/>
      <c r="E120" s="865"/>
      <c r="F120" s="866"/>
      <c r="G120" s="866"/>
      <c r="H120" s="866"/>
      <c r="I120" s="866"/>
      <c r="J120" s="866"/>
      <c r="K120" s="866"/>
      <c r="L120" s="866"/>
      <c r="M120" s="866"/>
      <c r="N120" s="866"/>
      <c r="O120" s="866"/>
      <c r="P120" s="866"/>
      <c r="Q120" s="866"/>
      <c r="T120" s="541"/>
    </row>
    <row r="121" spans="1:20">
      <c r="A121" s="546">
        <f t="shared" si="20"/>
        <v>109</v>
      </c>
      <c r="B121" s="13" t="s">
        <v>378</v>
      </c>
      <c r="C121" s="13"/>
      <c r="D121" s="13"/>
      <c r="E121" s="861">
        <f>E89-E115</f>
        <v>0.84175221434747227</v>
      </c>
      <c r="F121" s="842">
        <f>IF(OR(F62=0,F$30=0),0,F62/F$30)</f>
        <v>0.16108569810572537</v>
      </c>
      <c r="G121" s="842">
        <f>IF(OR(G62=0,G$30=0),0,G62/G$30)</f>
        <v>0</v>
      </c>
      <c r="H121" s="842">
        <f t="shared" ref="H121:Q121" si="54">IF(OR(H62=0,H$30=0),0,H62/H$30)</f>
        <v>0</v>
      </c>
      <c r="I121" s="842">
        <f t="shared" si="54"/>
        <v>0.53930453911271281</v>
      </c>
      <c r="J121" s="842">
        <f t="shared" si="54"/>
        <v>0</v>
      </c>
      <c r="K121" s="842">
        <f t="shared" si="54"/>
        <v>0</v>
      </c>
      <c r="L121" s="842">
        <f t="shared" si="54"/>
        <v>0.53930453911271281</v>
      </c>
      <c r="M121" s="842">
        <f t="shared" si="54"/>
        <v>0</v>
      </c>
      <c r="N121" s="842">
        <f t="shared" si="54"/>
        <v>0</v>
      </c>
      <c r="O121" s="842">
        <f t="shared" si="54"/>
        <v>0.53930453911271281</v>
      </c>
      <c r="P121" s="842">
        <f t="shared" si="54"/>
        <v>0</v>
      </c>
      <c r="Q121" s="842">
        <f t="shared" si="54"/>
        <v>0</v>
      </c>
      <c r="T121" s="541"/>
    </row>
    <row r="122" spans="1:20">
      <c r="A122" s="546">
        <f t="shared" si="20"/>
        <v>110</v>
      </c>
      <c r="B122" s="13"/>
      <c r="C122" s="13"/>
      <c r="D122" s="13"/>
      <c r="E122" s="872"/>
      <c r="F122" s="873"/>
      <c r="G122" s="873"/>
      <c r="H122" s="873"/>
      <c r="I122" s="873"/>
      <c r="J122" s="873"/>
      <c r="K122" s="873"/>
      <c r="L122" s="873"/>
      <c r="M122" s="873"/>
      <c r="N122" s="873"/>
      <c r="O122" s="873"/>
      <c r="P122" s="873"/>
      <c r="Q122" s="873"/>
      <c r="T122" s="541"/>
    </row>
    <row r="123" spans="1:20">
      <c r="A123" s="546">
        <f t="shared" si="20"/>
        <v>111</v>
      </c>
      <c r="B123" s="13" t="s">
        <v>379</v>
      </c>
      <c r="C123" s="13"/>
      <c r="D123" s="13"/>
      <c r="E123" s="868"/>
      <c r="F123" s="1200">
        <f>E64</f>
        <v>0</v>
      </c>
      <c r="G123" s="869">
        <f t="shared" ref="G123:Q123" si="55">F125</f>
        <v>0.16108569810572537</v>
      </c>
      <c r="H123" s="869">
        <f t="shared" si="55"/>
        <v>0.16108569810572537</v>
      </c>
      <c r="I123" s="869">
        <f t="shared" si="55"/>
        <v>0.16108569810572537</v>
      </c>
      <c r="J123" s="869">
        <f t="shared" si="55"/>
        <v>0.70039023721843818</v>
      </c>
      <c r="K123" s="869">
        <f t="shared" si="55"/>
        <v>0.70039023721843818</v>
      </c>
      <c r="L123" s="869">
        <f t="shared" si="55"/>
        <v>0.70039023721843818</v>
      </c>
      <c r="M123" s="869">
        <f t="shared" si="55"/>
        <v>1.239694776331151</v>
      </c>
      <c r="N123" s="869">
        <f t="shared" si="55"/>
        <v>1.239694776331151</v>
      </c>
      <c r="O123" s="869">
        <f t="shared" si="55"/>
        <v>1.239694776331151</v>
      </c>
      <c r="P123" s="869">
        <f t="shared" si="55"/>
        <v>1.7789993154438637</v>
      </c>
      <c r="Q123" s="869">
        <f t="shared" si="55"/>
        <v>1.7789993154438637</v>
      </c>
      <c r="T123" s="541"/>
    </row>
    <row r="124" spans="1:20">
      <c r="A124" s="546">
        <f t="shared" si="20"/>
        <v>112</v>
      </c>
      <c r="B124" s="13"/>
      <c r="C124" s="13"/>
      <c r="D124" s="13"/>
      <c r="E124" s="860"/>
      <c r="F124" s="859"/>
      <c r="G124" s="867"/>
      <c r="H124" s="867"/>
      <c r="I124" s="867"/>
      <c r="J124" s="867"/>
      <c r="K124" s="867"/>
      <c r="L124" s="867"/>
      <c r="M124" s="867"/>
      <c r="N124" s="867"/>
      <c r="O124" s="867"/>
      <c r="P124" s="867"/>
      <c r="Q124" s="867"/>
      <c r="T124" s="541"/>
    </row>
    <row r="125" spans="1:20">
      <c r="A125" s="546">
        <f t="shared" si="20"/>
        <v>113</v>
      </c>
      <c r="B125" s="16" t="s">
        <v>380</v>
      </c>
      <c r="C125" s="16"/>
      <c r="D125" s="16"/>
      <c r="E125" s="870">
        <f>SUM(E123,E121)</f>
        <v>0.84175221434747227</v>
      </c>
      <c r="F125" s="871">
        <f>SUM(F123,F121)</f>
        <v>0.16108569810572537</v>
      </c>
      <c r="G125" s="871">
        <f>SUM(G123,G121)</f>
        <v>0.16108569810572537</v>
      </c>
      <c r="H125" s="871">
        <f t="shared" ref="H125:Q125" si="56">SUM(H123,H121)</f>
        <v>0.16108569810572537</v>
      </c>
      <c r="I125" s="871">
        <f t="shared" si="56"/>
        <v>0.70039023721843818</v>
      </c>
      <c r="J125" s="871">
        <f t="shared" si="56"/>
        <v>0.70039023721843818</v>
      </c>
      <c r="K125" s="871">
        <f t="shared" si="56"/>
        <v>0.70039023721843818</v>
      </c>
      <c r="L125" s="871">
        <f t="shared" si="56"/>
        <v>1.239694776331151</v>
      </c>
      <c r="M125" s="871">
        <f t="shared" si="56"/>
        <v>1.239694776331151</v>
      </c>
      <c r="N125" s="871">
        <f t="shared" si="56"/>
        <v>1.239694776331151</v>
      </c>
      <c r="O125" s="871">
        <f t="shared" si="56"/>
        <v>1.7789993154438637</v>
      </c>
      <c r="P125" s="871">
        <f t="shared" si="56"/>
        <v>1.7789993154438637</v>
      </c>
      <c r="Q125" s="871">
        <f t="shared" si="56"/>
        <v>1.7789993154438637</v>
      </c>
      <c r="T125" s="541"/>
    </row>
    <row r="126" spans="1:20">
      <c r="A126" s="546">
        <f t="shared" si="20"/>
        <v>114</v>
      </c>
      <c r="T126" s="541"/>
    </row>
    <row r="127" spans="1:20">
      <c r="A127" s="546">
        <f t="shared" si="20"/>
        <v>115</v>
      </c>
      <c r="B127" s="42" t="s">
        <v>402</v>
      </c>
      <c r="F127" s="756">
        <f>IFERROR(#REF!/F35,0)</f>
        <v>0</v>
      </c>
      <c r="G127" s="756">
        <f>IFERROR(#REF!/G35,0)</f>
        <v>0</v>
      </c>
      <c r="H127" s="756">
        <f>IFERROR(#REF!/H35,0)</f>
        <v>0</v>
      </c>
      <c r="I127" s="756">
        <f>IFERROR(#REF!/I35,0)</f>
        <v>0</v>
      </c>
      <c r="J127" s="756">
        <f>IFERROR(#REF!/J35,0)</f>
        <v>0</v>
      </c>
      <c r="K127" s="756">
        <f>IFERROR(#REF!/K35,0)</f>
        <v>0</v>
      </c>
      <c r="L127" s="756">
        <f>IFERROR(#REF!/L35,0)</f>
        <v>0</v>
      </c>
      <c r="M127" s="756">
        <f>IFERROR(#REF!/M35,0)</f>
        <v>0</v>
      </c>
      <c r="N127" s="756">
        <f>IFERROR(#REF!/N35,0)</f>
        <v>0</v>
      </c>
      <c r="O127" s="756">
        <f>IFERROR(#REF!/O35,0)</f>
        <v>0</v>
      </c>
      <c r="P127" s="756">
        <f>IFERROR(#REF!/P35,0)</f>
        <v>0</v>
      </c>
      <c r="Q127" s="756">
        <f>IFERROR(#REF!/Q35,0)</f>
        <v>0</v>
      </c>
      <c r="T127" s="541"/>
    </row>
    <row r="128" spans="1:20">
      <c r="A128" s="546">
        <f t="shared" si="20"/>
        <v>116</v>
      </c>
      <c r="B128" s="140" t="s">
        <v>403</v>
      </c>
      <c r="C128" s="140"/>
      <c r="D128" s="140"/>
      <c r="F128" s="66">
        <f>Summary!$G$67</f>
        <v>19</v>
      </c>
      <c r="G128" s="66">
        <f>Summary!$G$67</f>
        <v>19</v>
      </c>
      <c r="H128" s="66">
        <f>Summary!$G$67</f>
        <v>19</v>
      </c>
      <c r="I128" s="66">
        <f>Summary!$G$67</f>
        <v>19</v>
      </c>
      <c r="J128" s="66">
        <f>Summary!$G$67</f>
        <v>19</v>
      </c>
      <c r="K128" s="66">
        <f>Summary!$G$67</f>
        <v>19</v>
      </c>
      <c r="L128" s="66">
        <f>Summary!$G$67</f>
        <v>19</v>
      </c>
      <c r="M128" s="66">
        <f>Summary!$G$67</f>
        <v>19</v>
      </c>
      <c r="N128" s="66">
        <f>Summary!$G$67</f>
        <v>19</v>
      </c>
      <c r="O128" s="66">
        <f>Summary!$G$67</f>
        <v>19</v>
      </c>
      <c r="P128" s="66">
        <f>Summary!$G$67</f>
        <v>19</v>
      </c>
      <c r="Q128" s="66">
        <f>Summary!$G$67</f>
        <v>19</v>
      </c>
      <c r="T128" s="541"/>
    </row>
    <row r="129" spans="1:20">
      <c r="A129" s="546">
        <f t="shared" si="20"/>
        <v>117</v>
      </c>
      <c r="B129" s="42" t="s">
        <v>404</v>
      </c>
      <c r="F129" s="75">
        <f>IFERROR(#REF!/Summary!$H$67,0)</f>
        <v>0</v>
      </c>
      <c r="G129" s="75">
        <f>IFERROR(#REF!/Summary!$H$67,0)</f>
        <v>0</v>
      </c>
      <c r="H129" s="75">
        <f>IFERROR(#REF!/Summary!$H$67,0)</f>
        <v>0</v>
      </c>
      <c r="I129" s="75">
        <f>IFERROR(#REF!/Summary!$H$67,0)</f>
        <v>0</v>
      </c>
      <c r="J129" s="75">
        <f>IFERROR(#REF!/Summary!$H$67,0)</f>
        <v>0</v>
      </c>
      <c r="K129" s="75">
        <f>IFERROR(#REF!/Summary!$H$67,0)</f>
        <v>0</v>
      </c>
      <c r="L129" s="75">
        <f>IFERROR(#REF!/Summary!$H$67,0)</f>
        <v>0</v>
      </c>
      <c r="M129" s="75">
        <f>IFERROR(#REF!/Summary!$H$67,0)</f>
        <v>0</v>
      </c>
      <c r="N129" s="75">
        <f>IFERROR(#REF!/Summary!$H$67,0)</f>
        <v>0</v>
      </c>
      <c r="O129" s="75">
        <f>IFERROR(#REF!/Summary!$H$67,0)</f>
        <v>0</v>
      </c>
      <c r="P129" s="75">
        <f>IFERROR(#REF!/Summary!$H$67,0)</f>
        <v>0</v>
      </c>
      <c r="Q129" s="75">
        <f>IFERROR(#REF!/Summary!$H$67,0)</f>
        <v>0</v>
      </c>
      <c r="T129" s="541"/>
    </row>
    <row r="130" spans="1:20">
      <c r="A130" s="546">
        <f t="shared" si="20"/>
        <v>118</v>
      </c>
      <c r="B130" s="42" t="s">
        <v>405</v>
      </c>
      <c r="F130" s="75">
        <f>IFERROR(F35/Summary!$H$67,0)</f>
        <v>0</v>
      </c>
      <c r="G130" s="75">
        <f>IFERROR(G35/Summary!$H$67,0)</f>
        <v>5974.4000000000005</v>
      </c>
      <c r="H130" s="75">
        <f>IFERROR(H35/Summary!$H$67,0)</f>
        <v>5974.391304347826</v>
      </c>
      <c r="I130" s="75">
        <f>IFERROR(I35/Summary!$H$67,0)</f>
        <v>5974.391304347826</v>
      </c>
      <c r="J130" s="75">
        <f>IFERROR(J35/Summary!$H$67,0)</f>
        <v>5974.391304347826</v>
      </c>
      <c r="K130" s="75">
        <f>IFERROR(K35/Summary!$H$67,0)</f>
        <v>5974.391304347826</v>
      </c>
      <c r="L130" s="75">
        <f>IFERROR(L35/Summary!$H$67,0)</f>
        <v>5974.391304347826</v>
      </c>
      <c r="M130" s="75">
        <f>IFERROR(M35/Summary!$H$67,0)</f>
        <v>5974.391304347826</v>
      </c>
      <c r="N130" s="75">
        <f>IFERROR(N35/Summary!$H$67,0)</f>
        <v>5974.391304347826</v>
      </c>
      <c r="O130" s="75">
        <f>IFERROR(O35/Summary!$H$67,0)</f>
        <v>5974.391304347826</v>
      </c>
      <c r="P130" s="75">
        <f>IFERROR(P35/Summary!$H$67,0)</f>
        <v>5974.391304347826</v>
      </c>
      <c r="Q130" s="75">
        <f>IFERROR(Q35/Summary!$H$67,0)</f>
        <v>0</v>
      </c>
      <c r="T130" s="541"/>
    </row>
    <row r="132" spans="1:20">
      <c r="A132" s="123"/>
      <c r="B132" s="123"/>
    </row>
  </sheetData>
  <sheetProtection algorithmName="SHA-512" hashValue="KAqCllxJWGDqm9hulbF18ZibTrh+RgC+mgM9ujC6+2nO7GidDF3iIIblC670F0UatphyWgqMxceszebIe5yK+Q==" saltValue="uqj3iFNeo6aRv1VCj0RlzA==" spinCount="100000" sheet="1" objects="1" scenarios="1"/>
  <conditionalFormatting sqref="E56:Q57 E54:E55">
    <cfRule type="cellIs" dxfId="64" priority="180" stopIfTrue="1" operator="equal">
      <formula>0</formula>
    </cfRule>
  </conditionalFormatting>
  <conditionalFormatting sqref="E73:Q89">
    <cfRule type="cellIs" dxfId="63" priority="181" stopIfTrue="1" operator="equal">
      <formula>0</formula>
    </cfRule>
  </conditionalFormatting>
  <conditionalFormatting sqref="E95:Q115">
    <cfRule type="cellIs" dxfId="62" priority="182" stopIfTrue="1" operator="equal">
      <formula>0</formula>
    </cfRule>
  </conditionalFormatting>
  <conditionalFormatting sqref="D1">
    <cfRule type="expression" dxfId="61" priority="3" stopIfTrue="1">
      <formula>MOD(ROW(),2)=0</formula>
    </cfRule>
  </conditionalFormatting>
  <conditionalFormatting sqref="E116:Q118">
    <cfRule type="cellIs" dxfId="60" priority="183" stopIfTrue="1" operator="equal">
      <formula>0</formula>
    </cfRule>
  </conditionalFormatting>
  <conditionalFormatting sqref="E121:Q121">
    <cfRule type="cellIs" dxfId="59" priority="184" stopIfTrue="1" operator="equal">
      <formula>0</formula>
    </cfRule>
  </conditionalFormatting>
  <conditionalFormatting sqref="E122:Q125">
    <cfRule type="cellIs" dxfId="58" priority="185" stopIfTrue="1" operator="equal">
      <formula>0</formula>
    </cfRule>
  </conditionalFormatting>
  <conditionalFormatting sqref="F127:Q130">
    <cfRule type="cellIs" dxfId="57" priority="186" stopIfTrue="1" operator="equal">
      <formula>0</formula>
    </cfRule>
  </conditionalFormatting>
  <hyperlinks>
    <hyperlink ref="D1" location="HypLink1" display="HypLink1"/>
  </hyperlinks>
  <pageMargins left="0.25" right="0.25" top="0.5" bottom="0.45" header="0.25" footer="0.25"/>
  <pageSetup scale="59" fitToHeight="3" orientation="landscape" r:id="rId1"/>
  <headerFooter>
    <oddHeader xml:space="preserve">&amp;L &amp;C &amp;R </oddHeader>
    <oddFooter>&amp;L&amp;7&amp;D  at &amp;T Mike 702.486.8879&amp;C&amp;7&amp;F  &amp;A&amp;R&amp;7Page &amp;P of &amp;N</oddFooter>
  </headerFooter>
  <rowBreaks count="2" manualBreakCount="2">
    <brk id="52" max="16" man="1"/>
    <brk id="91" max="16" man="1"/>
  </rowBreaks>
  <legacyDrawing r:id="rId2"/>
  <extLst>
    <ext xmlns:x14="http://schemas.microsoft.com/office/spreadsheetml/2009/9/main" uri="{78C0D931-6437-407d-A8EE-F0AAD7539E65}">
      <x14:conditionalFormattings>
        <x14:conditionalFormatting xmlns:xm="http://schemas.microsoft.com/office/excel/2006/main">
          <x14:cfRule type="cellIs" priority="8" operator="notBetween" id="{43A297F8-FFBE-417E-89DE-D5D0089D6E55}">
            <xm:f>0.95*' Enrol &amp; Rev'!$H$109</xm:f>
            <xm:f>1.05*' Enrol &amp; Rev'!$H$109</xm:f>
            <x14:dxf>
              <fill>
                <patternFill>
                  <bgColor rgb="FFFF0000"/>
                </patternFill>
              </fill>
            </x14:dxf>
          </x14:cfRule>
          <xm:sqref>C30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Y445"/>
  <sheetViews>
    <sheetView topLeftCell="A92" zoomScale="90" zoomScaleNormal="90" workbookViewId="0">
      <selection activeCell="M107" sqref="M107"/>
    </sheetView>
  </sheetViews>
  <sheetFormatPr defaultColWidth="8.85546875" defaultRowHeight="15" outlineLevelRow="1"/>
  <cols>
    <col min="1" max="1" width="8.140625" style="80" customWidth="1"/>
    <col min="2" max="2" width="47.85546875" style="80" customWidth="1"/>
    <col min="3" max="3" width="20.28515625" style="80" customWidth="1"/>
    <col min="4" max="6" width="13.28515625" style="80" customWidth="1"/>
    <col min="7" max="7" width="15.28515625" style="80" customWidth="1"/>
    <col min="8" max="8" width="16.140625" style="84" customWidth="1"/>
    <col min="9" max="10" width="21" style="84" customWidth="1"/>
    <col min="11" max="12" width="17" style="80" customWidth="1"/>
    <col min="13" max="13" width="16.5703125" style="80" customWidth="1"/>
    <col min="14" max="14" width="2.5703125" style="80" customWidth="1"/>
    <col min="15" max="15" width="70.42578125" style="80" customWidth="1"/>
    <col min="16" max="18" width="12.5703125" style="80" customWidth="1"/>
    <col min="19" max="24" width="16.42578125" style="80" customWidth="1"/>
    <col min="25" max="25" width="26.140625" style="80" customWidth="1"/>
    <col min="26" max="16384" width="8.85546875" style="80"/>
  </cols>
  <sheetData>
    <row r="1" spans="1:25" ht="18">
      <c r="A1" s="203" t="s">
        <v>406</v>
      </c>
      <c r="B1" s="79"/>
      <c r="D1" s="640" t="s">
        <v>2</v>
      </c>
      <c r="Q1" s="47"/>
      <c r="Y1" s="487"/>
    </row>
    <row r="2" spans="1:25" ht="15.75">
      <c r="A2" s="201" t="str">
        <f>SchoolName</f>
        <v>Strong Start Academy Elementary School</v>
      </c>
      <c r="B2" s="81"/>
      <c r="Y2" s="487"/>
    </row>
    <row r="3" spans="1:25">
      <c r="A3" s="83" t="s">
        <v>62</v>
      </c>
      <c r="L3" s="86"/>
      <c r="Y3" s="487"/>
    </row>
    <row r="4" spans="1:25">
      <c r="A4" s="85" t="s">
        <v>63</v>
      </c>
      <c r="Y4" s="487"/>
    </row>
    <row r="5" spans="1:25">
      <c r="A5" s="76" t="str">
        <f ca="1">CELL("filename")</f>
        <v>C:\Users\rsaucedo\OneDrive - City of Las Vegas\CLV Charter School\[Strong Start Academy Elementary School Financial Workbook 2021.xlsx]Incubation</v>
      </c>
      <c r="Y5" s="487"/>
    </row>
    <row r="6" spans="1:25" ht="15.75">
      <c r="A6" s="740"/>
      <c r="D6" s="102" t="s">
        <v>248</v>
      </c>
      <c r="E6" s="102"/>
      <c r="F6" s="102"/>
      <c r="G6" s="773"/>
      <c r="H6" s="774"/>
      <c r="I6" s="775"/>
      <c r="J6" s="775"/>
      <c r="K6" s="102"/>
      <c r="L6" s="773"/>
      <c r="M6" s="773"/>
      <c r="Y6" s="487"/>
    </row>
    <row r="7" spans="1:25">
      <c r="A7" s="740"/>
      <c r="B7" s="84"/>
      <c r="C7" s="84"/>
      <c r="D7" s="103" t="s">
        <v>249</v>
      </c>
      <c r="E7" s="103"/>
      <c r="F7" s="103"/>
      <c r="G7" s="775"/>
      <c r="H7" s="191"/>
      <c r="I7" s="775"/>
      <c r="J7" s="775"/>
      <c r="K7" s="191"/>
      <c r="L7" s="775"/>
      <c r="M7" s="775"/>
      <c r="Y7" s="487"/>
    </row>
    <row r="8" spans="1:25">
      <c r="A8" s="740"/>
      <c r="B8" s="84"/>
      <c r="C8" s="84"/>
      <c r="D8" s="84"/>
      <c r="E8" s="84"/>
      <c r="F8" s="84"/>
      <c r="G8" s="1101" t="str">
        <f>' Enrol &amp; Rev'!G9</f>
        <v>SY 0/Incu</v>
      </c>
      <c r="H8" s="1091">
        <f>' Enrol &amp; Rev'!H9</f>
        <v>1</v>
      </c>
      <c r="I8" s="1091">
        <f>' Enrol &amp; Rev'!I9</f>
        <v>2</v>
      </c>
      <c r="J8" s="1091">
        <f>' Enrol &amp; Rev'!J9</f>
        <v>3</v>
      </c>
      <c r="K8" s="1091">
        <f>' Enrol &amp; Rev'!K9</f>
        <v>4</v>
      </c>
      <c r="L8" s="1091">
        <f>' Enrol &amp; Rev'!L9</f>
        <v>5</v>
      </c>
      <c r="M8" s="1823">
        <f>' Enrol &amp; Rev'!M9</f>
        <v>6</v>
      </c>
    </row>
    <row r="9" spans="1:25">
      <c r="A9" s="740"/>
      <c r="B9" s="84"/>
      <c r="C9" s="84"/>
      <c r="D9" s="84"/>
      <c r="E9" s="84"/>
      <c r="F9" s="84"/>
      <c r="G9" s="1092">
        <f>' Enrol &amp; Rev'!G10</f>
        <v>2021</v>
      </c>
      <c r="H9" s="1093">
        <f>' Enrol &amp; Rev'!H10</f>
        <v>2022</v>
      </c>
      <c r="I9" s="1093">
        <f>' Enrol &amp; Rev'!I10</f>
        <v>2023</v>
      </c>
      <c r="J9" s="1093">
        <f>' Enrol &amp; Rev'!J10</f>
        <v>2024</v>
      </c>
      <c r="K9" s="1093">
        <f>' Enrol &amp; Rev'!K10</f>
        <v>2025</v>
      </c>
      <c r="L9" s="1093">
        <f>' Enrol &amp; Rev'!L10</f>
        <v>2026</v>
      </c>
      <c r="M9" s="1094">
        <f>' Enrol &amp; Rev'!M10</f>
        <v>2027</v>
      </c>
    </row>
    <row r="10" spans="1:25">
      <c r="A10" s="740"/>
      <c r="B10" s="84"/>
      <c r="C10" s="84"/>
      <c r="D10" s="84"/>
      <c r="E10" s="84"/>
      <c r="F10" s="84"/>
      <c r="G10" s="1095">
        <f>' Enrol &amp; Rev'!G11</f>
        <v>2022</v>
      </c>
      <c r="H10" s="1096">
        <f>' Enrol &amp; Rev'!H11</f>
        <v>2023</v>
      </c>
      <c r="I10" s="1096">
        <f>' Enrol &amp; Rev'!I11</f>
        <v>2024</v>
      </c>
      <c r="J10" s="1096">
        <f>' Enrol &amp; Rev'!J11</f>
        <v>2025</v>
      </c>
      <c r="K10" s="1096">
        <f>' Enrol &amp; Rev'!K11</f>
        <v>2026</v>
      </c>
      <c r="L10" s="1096">
        <f>' Enrol &amp; Rev'!L11</f>
        <v>2027</v>
      </c>
      <c r="M10" s="1097">
        <f>' Enrol &amp; Rev'!M11</f>
        <v>2028</v>
      </c>
    </row>
    <row r="11" spans="1:25" ht="18.75">
      <c r="A11" s="740"/>
      <c r="B11" s="681" t="s">
        <v>407</v>
      </c>
      <c r="C11" s="84"/>
      <c r="D11" s="84"/>
      <c r="E11" s="84"/>
      <c r="F11" s="84"/>
      <c r="G11" s="775"/>
      <c r="H11" s="775"/>
      <c r="I11" s="775"/>
      <c r="J11" s="775"/>
      <c r="K11" s="775"/>
      <c r="L11" s="775"/>
      <c r="M11" s="775"/>
    </row>
    <row r="12" spans="1:25">
      <c r="A12" s="740"/>
      <c r="B12" s="106"/>
      <c r="C12" s="106"/>
      <c r="D12" s="463"/>
      <c r="E12" s="463"/>
      <c r="F12" s="463"/>
      <c r="G12" s="775"/>
      <c r="H12" s="776"/>
      <c r="I12" s="776"/>
      <c r="J12" s="776"/>
      <c r="K12" s="776"/>
      <c r="L12" s="776"/>
      <c r="M12" s="776"/>
      <c r="N12" s="152"/>
      <c r="O12" s="108"/>
    </row>
    <row r="13" spans="1:25">
      <c r="A13" s="740"/>
      <c r="B13" s="82" t="s">
        <v>408</v>
      </c>
      <c r="C13" s="82"/>
      <c r="D13" s="82"/>
      <c r="E13" s="82"/>
      <c r="F13" s="82"/>
      <c r="G13" s="191"/>
      <c r="H13" s="777"/>
      <c r="I13" s="777"/>
      <c r="J13" s="777"/>
      <c r="K13" s="777"/>
      <c r="L13" s="777"/>
      <c r="M13" s="777"/>
      <c r="N13" s="152"/>
      <c r="O13" s="108"/>
    </row>
    <row r="14" spans="1:25" ht="18.75">
      <c r="A14" s="740">
        <f>ROW()</f>
        <v>14</v>
      </c>
      <c r="B14" s="1196" t="s">
        <v>409</v>
      </c>
      <c r="C14" s="1197"/>
      <c r="D14" s="1197"/>
      <c r="E14" s="1197"/>
      <c r="F14" s="1197"/>
      <c r="G14" s="1198"/>
      <c r="H14" s="1198"/>
      <c r="I14" s="1198"/>
      <c r="J14" s="1198"/>
      <c r="K14" s="1198"/>
      <c r="L14" s="1198"/>
      <c r="M14" s="1198"/>
      <c r="N14" s="152"/>
      <c r="O14" s="1813" t="s">
        <v>84</v>
      </c>
    </row>
    <row r="15" spans="1:25">
      <c r="A15" s="740">
        <f>ROW()</f>
        <v>15</v>
      </c>
      <c r="B15" s="106" t="s">
        <v>410</v>
      </c>
      <c r="C15" s="106"/>
      <c r="D15" s="106"/>
      <c r="E15" s="106"/>
      <c r="F15" s="106"/>
      <c r="G15" s="778">
        <f>$G$81</f>
        <v>0</v>
      </c>
      <c r="H15" s="778">
        <f>$H$81</f>
        <v>1</v>
      </c>
      <c r="I15" s="778">
        <f>$I$81</f>
        <v>1</v>
      </c>
      <c r="J15" s="778">
        <f>$J$81</f>
        <v>1</v>
      </c>
      <c r="K15" s="778">
        <f>$K$81</f>
        <v>1</v>
      </c>
      <c r="L15" s="778">
        <f>$L$81</f>
        <v>1</v>
      </c>
      <c r="M15" s="778">
        <f>$M$81</f>
        <v>2</v>
      </c>
      <c r="N15" s="152"/>
      <c r="O15" s="717"/>
    </row>
    <row r="16" spans="1:25">
      <c r="A16" s="740">
        <f>ROW()</f>
        <v>16</v>
      </c>
      <c r="B16" s="106" t="s">
        <v>411</v>
      </c>
      <c r="C16" s="106"/>
      <c r="D16" s="106"/>
      <c r="E16" s="106"/>
      <c r="F16" s="106"/>
      <c r="G16" s="778">
        <f>$G$89-$G$81</f>
        <v>0</v>
      </c>
      <c r="H16" s="778">
        <f>$H$89-$H$81</f>
        <v>1</v>
      </c>
      <c r="I16" s="778">
        <f>$I$89-$I$81</f>
        <v>1</v>
      </c>
      <c r="J16" s="778">
        <f>$J$89-$J$81</f>
        <v>2</v>
      </c>
      <c r="K16" s="778">
        <f>$K$89-$K$81</f>
        <v>2</v>
      </c>
      <c r="L16" s="778">
        <f>$L$89-$L$81</f>
        <v>2</v>
      </c>
      <c r="M16" s="778">
        <f>$M$89-$M$81</f>
        <v>2</v>
      </c>
      <c r="N16" s="152"/>
      <c r="O16" s="541"/>
    </row>
    <row r="17" spans="1:15">
      <c r="A17" s="740">
        <f>ROW()</f>
        <v>17</v>
      </c>
      <c r="B17" s="106" t="s">
        <v>412</v>
      </c>
      <c r="C17" s="106"/>
      <c r="D17" s="106"/>
      <c r="E17" s="106"/>
      <c r="F17" s="106"/>
      <c r="G17" s="778">
        <f>$G$101</f>
        <v>0</v>
      </c>
      <c r="H17" s="778">
        <f>$H$101</f>
        <v>1</v>
      </c>
      <c r="I17" s="778">
        <f>$I$101</f>
        <v>2</v>
      </c>
      <c r="J17" s="778">
        <f>$J$101</f>
        <v>2</v>
      </c>
      <c r="K17" s="778">
        <f>$K$101</f>
        <v>2</v>
      </c>
      <c r="L17" s="778">
        <f>$L$101</f>
        <v>2</v>
      </c>
      <c r="M17" s="778">
        <f>$M$101</f>
        <v>2</v>
      </c>
      <c r="N17" s="152"/>
      <c r="O17" s="541"/>
    </row>
    <row r="18" spans="1:15">
      <c r="A18" s="740">
        <f>ROW()</f>
        <v>18</v>
      </c>
      <c r="B18" s="106" t="s">
        <v>413</v>
      </c>
      <c r="C18" s="106"/>
      <c r="D18" s="106"/>
      <c r="E18" s="106"/>
      <c r="F18" s="106"/>
      <c r="G18" s="778">
        <f>$G$113</f>
        <v>0</v>
      </c>
      <c r="H18" s="778">
        <f>$H$113</f>
        <v>2</v>
      </c>
      <c r="I18" s="778">
        <f>$I$113</f>
        <v>2</v>
      </c>
      <c r="J18" s="778">
        <f>$J$113</f>
        <v>3</v>
      </c>
      <c r="K18" s="778">
        <f>$K$113</f>
        <v>4</v>
      </c>
      <c r="L18" s="778">
        <f>$L$113</f>
        <v>4</v>
      </c>
      <c r="M18" s="778">
        <f>$M$113</f>
        <v>4</v>
      </c>
      <c r="N18" s="152"/>
      <c r="O18" s="541"/>
    </row>
    <row r="19" spans="1:15">
      <c r="A19" s="740">
        <f>ROW()</f>
        <v>19</v>
      </c>
      <c r="B19" s="106" t="s">
        <v>414</v>
      </c>
      <c r="C19" s="106"/>
      <c r="D19" s="106"/>
      <c r="E19" s="106"/>
      <c r="F19" s="106"/>
      <c r="G19" s="778">
        <f>$G$125</f>
        <v>0</v>
      </c>
      <c r="H19" s="778">
        <f>$H$125</f>
        <v>2</v>
      </c>
      <c r="I19" s="778">
        <f>$I$125</f>
        <v>2</v>
      </c>
      <c r="J19" s="778">
        <f>$J$125</f>
        <v>3</v>
      </c>
      <c r="K19" s="778">
        <f>$K$125</f>
        <v>3</v>
      </c>
      <c r="L19" s="778">
        <f>$L$125</f>
        <v>3</v>
      </c>
      <c r="M19" s="778">
        <f>$M$125</f>
        <v>3</v>
      </c>
      <c r="N19" s="152"/>
      <c r="O19" s="541"/>
    </row>
    <row r="20" spans="1:15">
      <c r="A20" s="740">
        <f>ROW()</f>
        <v>20</v>
      </c>
      <c r="B20" s="106" t="s">
        <v>415</v>
      </c>
      <c r="C20" s="106"/>
      <c r="D20" s="106"/>
      <c r="E20" s="106"/>
      <c r="F20" s="106"/>
      <c r="G20" s="778">
        <f>$G$229</f>
        <v>0</v>
      </c>
      <c r="H20" s="778">
        <f>$H$229</f>
        <v>12</v>
      </c>
      <c r="I20" s="778">
        <f>$I$229</f>
        <v>15</v>
      </c>
      <c r="J20" s="778">
        <f>$J$229</f>
        <v>19</v>
      </c>
      <c r="K20" s="778">
        <f>$K$229</f>
        <v>22</v>
      </c>
      <c r="L20" s="778">
        <f>$L$229</f>
        <v>22</v>
      </c>
      <c r="M20" s="778">
        <f>$M$229</f>
        <v>22</v>
      </c>
      <c r="N20" s="152"/>
      <c r="O20" s="541"/>
    </row>
    <row r="21" spans="1:15">
      <c r="A21" s="740">
        <f>ROW()</f>
        <v>21</v>
      </c>
      <c r="B21" s="210" t="s">
        <v>416</v>
      </c>
      <c r="C21" s="210"/>
      <c r="D21" s="210"/>
      <c r="E21" s="210"/>
      <c r="F21" s="210"/>
      <c r="G21" s="1020">
        <f t="shared" ref="G21:M21" si="0">SUM(G15:G20)</f>
        <v>0</v>
      </c>
      <c r="H21" s="1020">
        <f t="shared" si="0"/>
        <v>19</v>
      </c>
      <c r="I21" s="1020">
        <f t="shared" si="0"/>
        <v>23</v>
      </c>
      <c r="J21" s="1020">
        <f t="shared" si="0"/>
        <v>30</v>
      </c>
      <c r="K21" s="1020">
        <f t="shared" si="0"/>
        <v>34</v>
      </c>
      <c r="L21" s="1020">
        <f t="shared" si="0"/>
        <v>34</v>
      </c>
      <c r="M21" s="1020">
        <f t="shared" si="0"/>
        <v>35</v>
      </c>
      <c r="N21" s="152"/>
      <c r="O21" s="541"/>
    </row>
    <row r="22" spans="1:15">
      <c r="A22" s="740">
        <f>ROW()</f>
        <v>22</v>
      </c>
      <c r="B22" s="84"/>
      <c r="C22" s="84"/>
      <c r="D22" s="84"/>
      <c r="E22" s="84"/>
      <c r="F22" s="46"/>
      <c r="G22" s="84"/>
      <c r="H22" s="160"/>
      <c r="I22" s="160"/>
      <c r="J22" s="160"/>
      <c r="K22" s="106"/>
      <c r="L22" s="106"/>
      <c r="M22" s="106"/>
      <c r="N22" s="152"/>
      <c r="O22" s="541"/>
    </row>
    <row r="23" spans="1:15">
      <c r="A23" s="740">
        <f>ROW()</f>
        <v>23</v>
      </c>
      <c r="B23" s="1049" t="s">
        <v>417</v>
      </c>
      <c r="C23" s="1049"/>
      <c r="D23" s="1049"/>
      <c r="E23" s="1049"/>
      <c r="F23" s="1050"/>
      <c r="G23" s="1051">
        <f>G441</f>
        <v>0</v>
      </c>
      <c r="H23" s="1051">
        <f t="shared" ref="H23:M23" si="1">H441</f>
        <v>0</v>
      </c>
      <c r="I23" s="1051">
        <f t="shared" si="1"/>
        <v>0</v>
      </c>
      <c r="J23" s="1051">
        <f t="shared" si="1"/>
        <v>0</v>
      </c>
      <c r="K23" s="1051">
        <f t="shared" si="1"/>
        <v>0</v>
      </c>
      <c r="L23" s="1051">
        <f t="shared" si="1"/>
        <v>0</v>
      </c>
      <c r="M23" s="1051">
        <f t="shared" si="1"/>
        <v>0</v>
      </c>
      <c r="N23" s="152"/>
      <c r="O23" s="541"/>
    </row>
    <row r="24" spans="1:15">
      <c r="A24" s="740">
        <f>ROW()</f>
        <v>24</v>
      </c>
      <c r="B24" s="84"/>
      <c r="C24" s="84"/>
      <c r="D24" s="84"/>
      <c r="E24" s="84"/>
      <c r="F24" s="46"/>
      <c r="G24" s="84"/>
      <c r="H24" s="160"/>
      <c r="I24" s="160"/>
      <c r="J24" s="160"/>
      <c r="K24" s="106"/>
      <c r="L24" s="106"/>
      <c r="M24" s="106"/>
      <c r="N24" s="152"/>
      <c r="O24" s="541"/>
    </row>
    <row r="25" spans="1:15">
      <c r="A25" s="740">
        <f>ROW()</f>
        <v>25</v>
      </c>
      <c r="B25" s="210" t="s">
        <v>418</v>
      </c>
      <c r="C25" s="210"/>
      <c r="D25" s="210"/>
      <c r="E25" s="210"/>
      <c r="F25" s="989"/>
      <c r="G25" s="1231">
        <f>+G23+G21</f>
        <v>0</v>
      </c>
      <c r="H25" s="1231">
        <f t="shared" ref="H25:M25" si="2">+H23+H21</f>
        <v>19</v>
      </c>
      <c r="I25" s="1231">
        <f t="shared" si="2"/>
        <v>23</v>
      </c>
      <c r="J25" s="1231">
        <f t="shared" si="2"/>
        <v>30</v>
      </c>
      <c r="K25" s="1231">
        <f t="shared" si="2"/>
        <v>34</v>
      </c>
      <c r="L25" s="1231">
        <f t="shared" si="2"/>
        <v>34</v>
      </c>
      <c r="M25" s="1231">
        <f t="shared" si="2"/>
        <v>35</v>
      </c>
      <c r="N25" s="152"/>
      <c r="O25" s="541"/>
    </row>
    <row r="26" spans="1:15">
      <c r="A26" s="740">
        <f>ROW()</f>
        <v>26</v>
      </c>
      <c r="B26" s="84"/>
      <c r="C26" s="84"/>
      <c r="D26" s="84"/>
      <c r="E26" s="84"/>
      <c r="F26" s="46"/>
      <c r="G26" s="84"/>
      <c r="H26" s="160"/>
      <c r="I26" s="160"/>
      <c r="J26" s="160"/>
      <c r="K26" s="106"/>
      <c r="L26" s="106"/>
      <c r="M26" s="106"/>
      <c r="N26" s="152"/>
      <c r="O26" s="541"/>
    </row>
    <row r="27" spans="1:15">
      <c r="A27" s="740">
        <f>ROW()</f>
        <v>27</v>
      </c>
      <c r="B27" s="84"/>
      <c r="C27" s="775" t="s">
        <v>419</v>
      </c>
      <c r="D27" s="84"/>
      <c r="E27" s="84"/>
      <c r="F27" s="46"/>
      <c r="G27" s="84"/>
      <c r="H27" s="160"/>
      <c r="I27" s="160"/>
      <c r="J27" s="160"/>
      <c r="K27" s="106"/>
      <c r="L27" s="106"/>
      <c r="M27" s="106"/>
      <c r="N27" s="152"/>
      <c r="O27" s="541"/>
    </row>
    <row r="28" spans="1:15" ht="18.75">
      <c r="A28" s="740">
        <f>ROW()</f>
        <v>28</v>
      </c>
      <c r="B28" s="1052" t="s">
        <v>420</v>
      </c>
      <c r="C28" s="1232">
        <f>AVERAGE(H28:M28)</f>
        <v>300</v>
      </c>
      <c r="D28" s="682"/>
      <c r="E28" s="682"/>
      <c r="F28" s="682"/>
      <c r="G28" s="683"/>
      <c r="H28" s="683">
        <f>Levers!D9</f>
        <v>180</v>
      </c>
      <c r="I28" s="683">
        <f>Levers!E9</f>
        <v>240</v>
      </c>
      <c r="J28" s="683">
        <f>Levers!F9</f>
        <v>300</v>
      </c>
      <c r="K28" s="683">
        <f>Levers!G9</f>
        <v>360</v>
      </c>
      <c r="L28" s="683">
        <f>Levers!H9</f>
        <v>360</v>
      </c>
      <c r="M28" s="683">
        <f>Levers!I9</f>
        <v>360</v>
      </c>
      <c r="N28" s="152"/>
      <c r="O28" s="541"/>
    </row>
    <row r="29" spans="1:15">
      <c r="A29" s="740">
        <f>ROW()</f>
        <v>29</v>
      </c>
      <c r="B29" s="282" t="s">
        <v>421</v>
      </c>
      <c r="C29" s="1232">
        <f t="shared" ref="C29:C30" si="3">AVERAGE(H29:M29)</f>
        <v>3207351.5542129348</v>
      </c>
      <c r="D29" s="709"/>
      <c r="E29" s="706"/>
      <c r="F29" s="706"/>
      <c r="G29" s="708">
        <f>Levers!C10</f>
        <v>500000</v>
      </c>
      <c r="H29" s="708">
        <f>Levers!D10</f>
        <v>2248562.8718250003</v>
      </c>
      <c r="I29" s="708">
        <f>Levers!E10</f>
        <v>2518203.4592864197</v>
      </c>
      <c r="J29" s="708">
        <f>Levers!F10</f>
        <v>3122001.864325976</v>
      </c>
      <c r="K29" s="708">
        <f>Levers!G10</f>
        <v>3726926.2693655328</v>
      </c>
      <c r="L29" s="708">
        <f>Levers!H10</f>
        <v>3810720.4302373398</v>
      </c>
      <c r="M29" s="708">
        <f>Levers!I10</f>
        <v>3817694.4302373398</v>
      </c>
      <c r="N29" s="152"/>
      <c r="O29" s="541"/>
    </row>
    <row r="30" spans="1:15">
      <c r="A30" s="740">
        <f>ROW()</f>
        <v>30</v>
      </c>
      <c r="B30" s="282" t="s">
        <v>422</v>
      </c>
      <c r="C30" s="1232">
        <f t="shared" si="3"/>
        <v>1475273.3333333333</v>
      </c>
      <c r="D30" s="709"/>
      <c r="E30" s="706"/>
      <c r="F30" s="706"/>
      <c r="G30" s="708">
        <f>G389</f>
        <v>0</v>
      </c>
      <c r="H30" s="708">
        <f>H389</f>
        <v>977680</v>
      </c>
      <c r="I30" s="708">
        <f t="shared" ref="I30:M30" si="4">I389</f>
        <v>1179680</v>
      </c>
      <c r="J30" s="708">
        <f t="shared" si="4"/>
        <v>1522070</v>
      </c>
      <c r="K30" s="708">
        <f t="shared" si="4"/>
        <v>1724070</v>
      </c>
      <c r="L30" s="708">
        <f t="shared" si="4"/>
        <v>1724070</v>
      </c>
      <c r="M30" s="708">
        <f t="shared" si="4"/>
        <v>1724070</v>
      </c>
      <c r="N30" s="152"/>
      <c r="O30" s="541"/>
    </row>
    <row r="31" spans="1:15">
      <c r="A31" s="740">
        <f>ROW()</f>
        <v>31</v>
      </c>
      <c r="B31" s="84"/>
      <c r="C31" s="214"/>
      <c r="D31" s="241"/>
      <c r="E31" s="241"/>
      <c r="F31" s="241"/>
      <c r="G31" s="460"/>
      <c r="H31" s="670"/>
      <c r="I31" s="670"/>
      <c r="J31" s="670"/>
      <c r="K31" s="670"/>
      <c r="L31" s="670"/>
      <c r="M31" s="670"/>
      <c r="N31" s="152"/>
      <c r="O31" s="541"/>
    </row>
    <row r="32" spans="1:15">
      <c r="A32" s="740">
        <f>ROW()</f>
        <v>32</v>
      </c>
      <c r="B32" s="282" t="s">
        <v>423</v>
      </c>
      <c r="C32" s="1232">
        <f>AVERAGE(H32:M32)</f>
        <v>437832.22425305983</v>
      </c>
      <c r="D32" s="710"/>
      <c r="E32" s="707"/>
      <c r="F32" s="707"/>
      <c r="G32" s="772">
        <f>G414</f>
        <v>0</v>
      </c>
      <c r="H32" s="772">
        <f t="shared" ref="H32:M32" si="5">H414</f>
        <v>285780.15999999997</v>
      </c>
      <c r="I32" s="772">
        <f t="shared" si="5"/>
        <v>346270.49599999998</v>
      </c>
      <c r="J32" s="772">
        <f t="shared" si="5"/>
        <v>450033.3996</v>
      </c>
      <c r="K32" s="772">
        <f t="shared" si="5"/>
        <v>511384.30698880006</v>
      </c>
      <c r="L32" s="772">
        <f t="shared" si="5"/>
        <v>512912.74615868798</v>
      </c>
      <c r="M32" s="772">
        <f t="shared" si="5"/>
        <v>520612.23677087121</v>
      </c>
      <c r="N32" s="152"/>
      <c r="O32" s="541"/>
    </row>
    <row r="33" spans="1:15">
      <c r="A33" s="740">
        <f>ROW()</f>
        <v>33</v>
      </c>
      <c r="B33" s="106" t="s">
        <v>424</v>
      </c>
      <c r="C33" s="106"/>
      <c r="D33" s="106"/>
      <c r="E33" s="106"/>
      <c r="F33" s="106"/>
      <c r="G33" s="705">
        <f>G394</f>
        <v>0</v>
      </c>
      <c r="H33" s="705">
        <f t="shared" ref="H33:M33" si="6">H394</f>
        <v>82900.800000000003</v>
      </c>
      <c r="I33" s="705">
        <f t="shared" si="6"/>
        <v>101357.136</v>
      </c>
      <c r="J33" s="705">
        <f t="shared" si="6"/>
        <v>133527.00959999999</v>
      </c>
      <c r="K33" s="705">
        <f t="shared" si="6"/>
        <v>152843.91698880002</v>
      </c>
      <c r="L33" s="705">
        <f t="shared" si="6"/>
        <v>154372.356158688</v>
      </c>
      <c r="M33" s="705">
        <f t="shared" si="6"/>
        <v>160501.84677087123</v>
      </c>
      <c r="N33" s="152"/>
      <c r="O33" s="541"/>
    </row>
    <row r="34" spans="1:15">
      <c r="A34" s="740">
        <f>ROW()</f>
        <v>34</v>
      </c>
      <c r="B34" s="106" t="s">
        <v>425</v>
      </c>
      <c r="C34" s="106"/>
      <c r="D34" s="106"/>
      <c r="E34" s="106"/>
      <c r="F34" s="106"/>
      <c r="G34" s="705">
        <f>G400</f>
        <v>0</v>
      </c>
      <c r="H34" s="705">
        <f t="shared" ref="H34:M34" si="7">H400</f>
        <v>149096.19999999998</v>
      </c>
      <c r="I34" s="705">
        <f t="shared" si="7"/>
        <v>179901.19999999998</v>
      </c>
      <c r="J34" s="705">
        <f t="shared" si="7"/>
        <v>232115.67499999999</v>
      </c>
      <c r="K34" s="705">
        <f t="shared" si="7"/>
        <v>262920.67499999999</v>
      </c>
      <c r="L34" s="705">
        <f t="shared" si="7"/>
        <v>262920.67499999999</v>
      </c>
      <c r="M34" s="705">
        <f t="shared" si="7"/>
        <v>262920.67499999999</v>
      </c>
      <c r="N34" s="152"/>
      <c r="O34" s="541"/>
    </row>
    <row r="35" spans="1:15">
      <c r="A35" s="740">
        <f>ROW()</f>
        <v>35</v>
      </c>
      <c r="B35" s="106" t="s">
        <v>426</v>
      </c>
      <c r="C35" s="106"/>
      <c r="D35" s="106"/>
      <c r="E35" s="106"/>
      <c r="F35" s="106"/>
      <c r="G35" s="705">
        <f t="shared" ref="G35:M35" si="8">G414-G34-G33</f>
        <v>0</v>
      </c>
      <c r="H35" s="705">
        <f t="shared" si="8"/>
        <v>53783.159999999989</v>
      </c>
      <c r="I35" s="705">
        <f t="shared" si="8"/>
        <v>65012.160000000003</v>
      </c>
      <c r="J35" s="705">
        <f t="shared" si="8"/>
        <v>84390.715000000026</v>
      </c>
      <c r="K35" s="705">
        <f t="shared" si="8"/>
        <v>95619.715000000055</v>
      </c>
      <c r="L35" s="705">
        <f t="shared" si="8"/>
        <v>95619.714999999997</v>
      </c>
      <c r="M35" s="705">
        <f t="shared" si="8"/>
        <v>97189.714999999997</v>
      </c>
      <c r="N35" s="152"/>
      <c r="O35" s="541"/>
    </row>
    <row r="36" spans="1:15">
      <c r="A36" s="740">
        <f>ROW()</f>
        <v>36</v>
      </c>
      <c r="B36" s="84"/>
      <c r="C36" s="84"/>
      <c r="D36" s="84"/>
      <c r="E36" s="84"/>
      <c r="F36" s="46"/>
      <c r="G36" s="84"/>
      <c r="H36" s="160"/>
      <c r="I36" s="160"/>
      <c r="J36" s="160"/>
      <c r="K36" s="106"/>
      <c r="L36" s="106"/>
      <c r="M36" s="106"/>
      <c r="N36" s="152"/>
      <c r="O36" s="541"/>
    </row>
    <row r="37" spans="1:15">
      <c r="A37" s="740">
        <f>ROW()</f>
        <v>37</v>
      </c>
      <c r="B37" s="282" t="s">
        <v>427</v>
      </c>
      <c r="C37" s="1232">
        <f t="shared" ref="C37:C42" si="9">AVERAGE(H37:M37)</f>
        <v>1930605.5575863931</v>
      </c>
      <c r="D37" s="282"/>
      <c r="E37" s="282"/>
      <c r="F37" s="282"/>
      <c r="G37" s="772">
        <f>G445</f>
        <v>0</v>
      </c>
      <c r="H37" s="772">
        <f t="shared" ref="H37:M37" si="10">H445</f>
        <v>1274860.1599999999</v>
      </c>
      <c r="I37" s="772">
        <f t="shared" si="10"/>
        <v>1539750.496</v>
      </c>
      <c r="J37" s="772">
        <f t="shared" si="10"/>
        <v>1990103.3996000001</v>
      </c>
      <c r="K37" s="772">
        <f t="shared" si="10"/>
        <v>2255854.3069887999</v>
      </c>
      <c r="L37" s="772">
        <f t="shared" si="10"/>
        <v>2257382.7461586879</v>
      </c>
      <c r="M37" s="772">
        <f t="shared" si="10"/>
        <v>2265682.2367708711</v>
      </c>
      <c r="N37" s="152"/>
      <c r="O37" s="541"/>
    </row>
    <row r="38" spans="1:15">
      <c r="A38" s="740">
        <f>ROW()</f>
        <v>38</v>
      </c>
      <c r="B38" s="106" t="s">
        <v>428</v>
      </c>
      <c r="C38" s="1234">
        <f t="shared" si="9"/>
        <v>6493.698811777017</v>
      </c>
      <c r="D38" s="106"/>
      <c r="E38" s="106"/>
      <c r="F38" s="106"/>
      <c r="G38" s="684"/>
      <c r="H38" s="684">
        <f>Levers!D13</f>
        <v>7082.5564444444444</v>
      </c>
      <c r="I38" s="684">
        <f>Levers!E13</f>
        <v>6415.6270666666669</v>
      </c>
      <c r="J38" s="684">
        <f>Levers!F13</f>
        <v>6633.677998666667</v>
      </c>
      <c r="K38" s="684">
        <f>Levers!G13</f>
        <v>6266.261963857778</v>
      </c>
      <c r="L38" s="684">
        <f>Levers!H13</f>
        <v>6270.5076282185773</v>
      </c>
      <c r="M38" s="684">
        <f>Levers!I13</f>
        <v>6293.5617688079756</v>
      </c>
      <c r="N38" s="152"/>
      <c r="O38" s="541"/>
    </row>
    <row r="39" spans="1:15">
      <c r="A39" s="740">
        <f>ROW()</f>
        <v>39</v>
      </c>
      <c r="B39" s="114" t="s">
        <v>429</v>
      </c>
      <c r="C39" s="1233">
        <f t="shared" si="9"/>
        <v>1276745.9966265415</v>
      </c>
      <c r="D39" s="114"/>
      <c r="E39" s="114"/>
      <c r="F39" s="114"/>
      <c r="G39" s="685">
        <f>Levers!C14</f>
        <v>500000</v>
      </c>
      <c r="H39" s="685">
        <f>Levers!D14</f>
        <v>973702.71182500036</v>
      </c>
      <c r="I39" s="685">
        <f>Levers!E14</f>
        <v>978452.96328641963</v>
      </c>
      <c r="J39" s="685">
        <f>Levers!F14</f>
        <v>1131898.4647259759</v>
      </c>
      <c r="K39" s="685">
        <f>Levers!G14</f>
        <v>1471071.9623767328</v>
      </c>
      <c r="L39" s="685">
        <f>Levers!H14</f>
        <v>1553337.6840786519</v>
      </c>
      <c r="M39" s="685">
        <f>Levers!I14</f>
        <v>1552012.1934664687</v>
      </c>
      <c r="N39" s="152"/>
      <c r="O39" s="541"/>
    </row>
    <row r="40" spans="1:15">
      <c r="A40" s="740">
        <f>ROW()</f>
        <v>40</v>
      </c>
      <c r="B40" s="114" t="s">
        <v>430</v>
      </c>
      <c r="C40" s="1233">
        <f t="shared" si="9"/>
        <v>4328.6041047095632</v>
      </c>
      <c r="D40" s="114"/>
      <c r="E40" s="114"/>
      <c r="F40" s="114"/>
      <c r="G40" s="685"/>
      <c r="H40" s="685">
        <f>Levers!D15</f>
        <v>5409.4595101388904</v>
      </c>
      <c r="I40" s="685">
        <f>Levers!E15</f>
        <v>4076.8873470267486</v>
      </c>
      <c r="J40" s="685">
        <f>Levers!F15</f>
        <v>3772.9948824199196</v>
      </c>
      <c r="K40" s="685">
        <f>Levers!G15</f>
        <v>4086.3110066020358</v>
      </c>
      <c r="L40" s="685">
        <f>Levers!H15</f>
        <v>4314.8269002184779</v>
      </c>
      <c r="M40" s="685">
        <f>Levers!I15</f>
        <v>4311.144981851302</v>
      </c>
      <c r="N40" s="152"/>
      <c r="O40" s="541"/>
    </row>
    <row r="41" spans="1:15">
      <c r="A41" s="740">
        <f>ROW()</f>
        <v>41</v>
      </c>
      <c r="B41" s="114" t="s">
        <v>431</v>
      </c>
      <c r="C41" s="1233">
        <f t="shared" si="9"/>
        <v>372336.59049612883</v>
      </c>
      <c r="D41" s="114"/>
      <c r="E41" s="114"/>
      <c r="F41" s="114"/>
      <c r="G41" s="685">
        <f>Levers!C38</f>
        <v>495000</v>
      </c>
      <c r="H41" s="685">
        <f>Levers!D38</f>
        <v>164773.1218250003</v>
      </c>
      <c r="I41" s="685">
        <f>Levers!E38</f>
        <v>157179.60388641959</v>
      </c>
      <c r="J41" s="685">
        <f>Levers!F38</f>
        <v>159032.43640497583</v>
      </c>
      <c r="K41" s="685">
        <f>Levers!G38</f>
        <v>514150.35120184784</v>
      </c>
      <c r="L41" s="685">
        <f>Levers!H38</f>
        <v>627259.89273383562</v>
      </c>
      <c r="M41" s="685">
        <f>Levers!I38</f>
        <v>611624.13692469383</v>
      </c>
      <c r="N41" s="152"/>
      <c r="O41" s="541"/>
    </row>
    <row r="42" spans="1:15">
      <c r="A42" s="740">
        <f>ROW()</f>
        <v>42</v>
      </c>
      <c r="B42" s="114" t="s">
        <v>432</v>
      </c>
      <c r="C42" s="1233">
        <f t="shared" si="9"/>
        <v>1161.6615527898048</v>
      </c>
      <c r="D42" s="114"/>
      <c r="E42" s="114"/>
      <c r="F42" s="114"/>
      <c r="G42" s="685">
        <f>Levers!C39</f>
        <v>0</v>
      </c>
      <c r="H42" s="685">
        <f>Levers!D39</f>
        <v>915.40623236111276</v>
      </c>
      <c r="I42" s="685">
        <f>Levers!E39</f>
        <v>654.915016193415</v>
      </c>
      <c r="J42" s="685">
        <f>Levers!F39</f>
        <v>530.10812134991943</v>
      </c>
      <c r="K42" s="685">
        <f>Levers!G39</f>
        <v>1428.195420005133</v>
      </c>
      <c r="L42" s="685">
        <f>Levers!H39</f>
        <v>1742.388590927321</v>
      </c>
      <c r="M42" s="685">
        <f>Levers!I39</f>
        <v>1698.9559359019272</v>
      </c>
      <c r="N42" s="152"/>
      <c r="O42" s="541"/>
    </row>
    <row r="43" spans="1:15">
      <c r="A43" s="740">
        <f>ROW()</f>
        <v>43</v>
      </c>
      <c r="B43" s="84"/>
      <c r="C43" s="84"/>
      <c r="D43" s="84"/>
      <c r="E43" s="84"/>
      <c r="F43" s="46"/>
      <c r="H43" s="160"/>
      <c r="I43" s="160"/>
      <c r="J43" s="160"/>
      <c r="K43" s="150"/>
      <c r="L43" s="150"/>
      <c r="M43" s="150"/>
      <c r="N43" s="152"/>
      <c r="O43" s="541"/>
    </row>
    <row r="44" spans="1:15">
      <c r="A44" s="740">
        <f>ROW()</f>
        <v>44</v>
      </c>
      <c r="B44" s="78" t="s">
        <v>147</v>
      </c>
      <c r="C44" s="78"/>
      <c r="D44" s="78"/>
      <c r="E44" s="78"/>
      <c r="F44" s="78"/>
      <c r="G44" s="769" t="str">
        <f t="shared" ref="G44:M46" si="11">G8</f>
        <v>SY 0/Incu</v>
      </c>
      <c r="H44" s="770">
        <f t="shared" si="11"/>
        <v>1</v>
      </c>
      <c r="I44" s="770">
        <f t="shared" si="11"/>
        <v>2</v>
      </c>
      <c r="J44" s="770">
        <f t="shared" si="11"/>
        <v>3</v>
      </c>
      <c r="K44" s="770">
        <f t="shared" si="11"/>
        <v>4</v>
      </c>
      <c r="L44" s="770">
        <f t="shared" si="11"/>
        <v>5</v>
      </c>
      <c r="M44" s="770">
        <f t="shared" si="11"/>
        <v>6</v>
      </c>
      <c r="N44" s="152"/>
      <c r="O44" s="541"/>
    </row>
    <row r="45" spans="1:15">
      <c r="A45" s="740">
        <f>ROW()</f>
        <v>45</v>
      </c>
      <c r="B45" s="86" t="s">
        <v>433</v>
      </c>
      <c r="C45" s="86"/>
      <c r="D45" s="86"/>
      <c r="E45" s="86"/>
      <c r="F45" s="86"/>
      <c r="G45" s="1225">
        <f t="shared" si="11"/>
        <v>2021</v>
      </c>
      <c r="H45" s="1225">
        <f t="shared" si="11"/>
        <v>2022</v>
      </c>
      <c r="I45" s="771">
        <f t="shared" si="11"/>
        <v>2023</v>
      </c>
      <c r="J45" s="771">
        <f t="shared" si="11"/>
        <v>2024</v>
      </c>
      <c r="K45" s="771">
        <f t="shared" si="11"/>
        <v>2025</v>
      </c>
      <c r="L45" s="771">
        <f t="shared" si="11"/>
        <v>2026</v>
      </c>
      <c r="M45" s="771">
        <f t="shared" si="11"/>
        <v>2027</v>
      </c>
      <c r="N45" s="152"/>
      <c r="O45" s="541"/>
    </row>
    <row r="46" spans="1:15">
      <c r="A46" s="740">
        <f>ROW()</f>
        <v>46</v>
      </c>
      <c r="B46" s="86" t="s">
        <v>434</v>
      </c>
      <c r="C46" s="86"/>
      <c r="D46" s="86"/>
      <c r="E46" s="86"/>
      <c r="F46" s="86"/>
      <c r="G46" s="102">
        <f t="shared" si="11"/>
        <v>2022</v>
      </c>
      <c r="H46" s="102">
        <f t="shared" si="11"/>
        <v>2023</v>
      </c>
      <c r="I46" s="102">
        <f t="shared" si="11"/>
        <v>2024</v>
      </c>
      <c r="J46" s="102">
        <f t="shared" si="11"/>
        <v>2025</v>
      </c>
      <c r="K46" s="102">
        <f t="shared" si="11"/>
        <v>2026</v>
      </c>
      <c r="L46" s="102">
        <f t="shared" si="11"/>
        <v>2027</v>
      </c>
      <c r="M46" s="102">
        <f t="shared" si="11"/>
        <v>2028</v>
      </c>
      <c r="N46" s="152"/>
      <c r="O46" s="541"/>
    </row>
    <row r="47" spans="1:15">
      <c r="A47" s="740">
        <f>ROW()</f>
        <v>47</v>
      </c>
      <c r="B47" s="279" t="s">
        <v>435</v>
      </c>
      <c r="C47" s="157"/>
      <c r="D47" s="157"/>
      <c r="E47" s="157"/>
      <c r="F47" s="157"/>
      <c r="G47" s="157"/>
      <c r="H47" s="157"/>
      <c r="I47" s="141"/>
      <c r="J47" s="141"/>
      <c r="K47" s="141"/>
      <c r="L47" s="141"/>
      <c r="M47" s="141"/>
      <c r="N47" s="152"/>
      <c r="O47" s="541"/>
    </row>
    <row r="48" spans="1:15">
      <c r="A48" s="740">
        <f>ROW()</f>
        <v>48</v>
      </c>
      <c r="B48" s="202" t="s">
        <v>436</v>
      </c>
      <c r="C48" s="108"/>
      <c r="D48" s="108"/>
      <c r="E48" s="108"/>
      <c r="F48" s="108"/>
      <c r="G48" s="158"/>
      <c r="H48" s="142"/>
      <c r="I48" s="143"/>
      <c r="J48" s="143"/>
      <c r="K48" s="143"/>
      <c r="L48" s="143"/>
      <c r="M48" s="143"/>
      <c r="N48" s="152"/>
      <c r="O48" s="541"/>
    </row>
    <row r="49" spans="1:15">
      <c r="A49" s="740">
        <f>ROW()</f>
        <v>49</v>
      </c>
      <c r="B49" s="108" t="s">
        <v>437</v>
      </c>
      <c r="C49" s="1235">
        <v>4800</v>
      </c>
      <c r="D49" s="142" t="s">
        <v>438</v>
      </c>
      <c r="E49" s="142"/>
      <c r="F49" s="142"/>
      <c r="I49" s="143"/>
      <c r="J49" s="143"/>
      <c r="K49" s="143"/>
      <c r="L49" s="143"/>
      <c r="M49" s="143"/>
      <c r="N49" s="152"/>
      <c r="O49" s="541"/>
    </row>
    <row r="50" spans="1:15">
      <c r="A50" s="740">
        <f>ROW()</f>
        <v>50</v>
      </c>
      <c r="B50" s="108" t="s">
        <v>439</v>
      </c>
      <c r="C50" s="1235">
        <v>0</v>
      </c>
      <c r="D50" s="142" t="s">
        <v>438</v>
      </c>
      <c r="E50" s="142"/>
      <c r="F50" s="142"/>
      <c r="I50" s="143"/>
      <c r="J50" s="143"/>
      <c r="K50" s="143"/>
      <c r="L50" s="143"/>
      <c r="M50" s="143"/>
      <c r="N50" s="152"/>
      <c r="O50" s="541"/>
    </row>
    <row r="51" spans="1:15">
      <c r="A51" s="740">
        <f>ROW()</f>
        <v>51</v>
      </c>
      <c r="B51" s="108" t="s">
        <v>440</v>
      </c>
      <c r="C51" s="1236">
        <v>0.9</v>
      </c>
      <c r="D51" s="142"/>
      <c r="E51" s="142"/>
      <c r="F51" s="142"/>
      <c r="I51" s="143"/>
      <c r="J51" s="143"/>
      <c r="K51" s="143"/>
      <c r="L51" s="143"/>
      <c r="M51" s="143"/>
      <c r="N51" s="152"/>
      <c r="O51" s="541"/>
    </row>
    <row r="52" spans="1:15">
      <c r="A52" s="740">
        <f>ROW()</f>
        <v>52</v>
      </c>
      <c r="B52" s="108" t="s">
        <v>441</v>
      </c>
      <c r="C52" s="1236">
        <v>0.9</v>
      </c>
      <c r="D52" s="142"/>
      <c r="E52" s="142"/>
      <c r="F52" s="142"/>
      <c r="I52" s="143"/>
      <c r="J52" s="143"/>
      <c r="K52" s="143"/>
      <c r="L52" s="143"/>
      <c r="M52" s="143"/>
      <c r="N52" s="152"/>
      <c r="O52" s="541"/>
    </row>
    <row r="53" spans="1:15">
      <c r="A53" s="740">
        <f>ROW()</f>
        <v>53</v>
      </c>
      <c r="B53" s="108" t="s">
        <v>442</v>
      </c>
      <c r="C53" s="1237">
        <f>(C52*C49)+((1-C52)*C50)</f>
        <v>4320</v>
      </c>
      <c r="D53" s="142" t="s">
        <v>443</v>
      </c>
      <c r="E53" s="142"/>
      <c r="F53" s="142"/>
      <c r="I53" s="143"/>
      <c r="J53" s="143"/>
      <c r="K53" s="143"/>
      <c r="L53" s="143"/>
      <c r="M53" s="143"/>
      <c r="N53" s="152"/>
      <c r="O53" s="541"/>
    </row>
    <row r="54" spans="1:15">
      <c r="A54" s="740">
        <f>ROW()</f>
        <v>54</v>
      </c>
      <c r="B54" s="108" t="s">
        <v>444</v>
      </c>
      <c r="C54" s="1066">
        <v>1.4500000000000001E-2</v>
      </c>
      <c r="D54" s="142" t="s">
        <v>445</v>
      </c>
      <c r="E54" s="142"/>
      <c r="F54" s="142"/>
      <c r="I54" s="143"/>
      <c r="J54" s="143"/>
      <c r="K54" s="143"/>
      <c r="L54" s="143"/>
      <c r="M54" s="143"/>
      <c r="N54" s="152"/>
      <c r="O54" s="541"/>
    </row>
    <row r="55" spans="1:15">
      <c r="A55" s="740">
        <f>ROW()</f>
        <v>55</v>
      </c>
      <c r="B55" s="108" t="s">
        <v>446</v>
      </c>
      <c r="C55" s="1066">
        <v>0.1525</v>
      </c>
      <c r="D55" s="142" t="s">
        <v>445</v>
      </c>
      <c r="E55" s="142"/>
      <c r="F55" s="142"/>
      <c r="I55" s="143"/>
      <c r="J55" s="143"/>
      <c r="K55" s="143"/>
      <c r="L55" s="143"/>
      <c r="M55" s="143"/>
      <c r="N55" s="152"/>
      <c r="O55" s="541"/>
    </row>
    <row r="56" spans="1:15">
      <c r="A56" s="740">
        <f>ROW()</f>
        <v>56</v>
      </c>
      <c r="B56" s="108" t="s">
        <v>447</v>
      </c>
      <c r="C56" s="1066">
        <v>0.01</v>
      </c>
      <c r="D56" s="142" t="s">
        <v>445</v>
      </c>
      <c r="E56" s="142"/>
      <c r="F56" s="142"/>
      <c r="I56" s="143"/>
      <c r="J56" s="143"/>
      <c r="K56" s="143"/>
      <c r="L56" s="143"/>
      <c r="M56" s="143"/>
      <c r="N56" s="152"/>
      <c r="O56" s="541"/>
    </row>
    <row r="57" spans="1:15">
      <c r="A57" s="740">
        <f>ROW()</f>
        <v>57</v>
      </c>
      <c r="B57" s="108" t="s">
        <v>448</v>
      </c>
      <c r="C57" s="1238">
        <v>0</v>
      </c>
      <c r="D57" s="142" t="s">
        <v>449</v>
      </c>
      <c r="E57" s="142"/>
      <c r="F57" s="142"/>
      <c r="I57" s="143"/>
      <c r="J57" s="143"/>
      <c r="K57" s="143"/>
      <c r="L57" s="143"/>
      <c r="M57" s="143"/>
      <c r="N57" s="152"/>
      <c r="O57" s="541"/>
    </row>
    <row r="58" spans="1:15">
      <c r="A58" s="740">
        <f>ROW()</f>
        <v>58</v>
      </c>
      <c r="B58" s="108" t="s">
        <v>450</v>
      </c>
      <c r="C58" s="1235">
        <v>1475</v>
      </c>
      <c r="D58" s="142" t="s">
        <v>449</v>
      </c>
      <c r="E58" s="142"/>
      <c r="F58" s="142"/>
      <c r="I58" s="143"/>
      <c r="J58" s="143"/>
      <c r="K58" s="143"/>
      <c r="L58" s="143"/>
      <c r="M58" s="143"/>
      <c r="N58" s="152"/>
      <c r="O58" s="541" t="s">
        <v>1249</v>
      </c>
    </row>
    <row r="59" spans="1:15">
      <c r="A59" s="740">
        <f>ROW()</f>
        <v>59</v>
      </c>
      <c r="B59" s="108" t="s">
        <v>451</v>
      </c>
      <c r="C59" s="1235">
        <v>95</v>
      </c>
      <c r="D59" s="142" t="s">
        <v>449</v>
      </c>
      <c r="E59" s="142"/>
      <c r="F59" s="142"/>
      <c r="I59" s="143"/>
      <c r="J59" s="143"/>
      <c r="K59" s="143"/>
      <c r="L59" s="143"/>
      <c r="M59" s="143"/>
      <c r="N59" s="152"/>
      <c r="O59" s="541" t="s">
        <v>1250</v>
      </c>
    </row>
    <row r="60" spans="1:15">
      <c r="A60" s="740">
        <f>ROW()</f>
        <v>60</v>
      </c>
      <c r="B60" s="108"/>
      <c r="C60" s="151"/>
      <c r="D60" s="142"/>
      <c r="E60" s="142"/>
      <c r="F60" s="142"/>
      <c r="I60" s="143"/>
      <c r="J60" s="143"/>
      <c r="K60" s="143"/>
      <c r="L60" s="143"/>
      <c r="M60" s="143"/>
      <c r="N60" s="152"/>
      <c r="O60" s="541"/>
    </row>
    <row r="61" spans="1:15">
      <c r="A61" s="740">
        <f>ROW()</f>
        <v>61</v>
      </c>
      <c r="B61" s="108" t="s">
        <v>391</v>
      </c>
      <c r="C61" s="1235">
        <v>50</v>
      </c>
      <c r="D61" s="142" t="s">
        <v>452</v>
      </c>
      <c r="E61" s="142"/>
      <c r="F61" s="142"/>
      <c r="I61" s="143"/>
      <c r="J61" s="143"/>
      <c r="K61" s="143"/>
      <c r="L61" s="143"/>
      <c r="M61" s="143"/>
      <c r="N61" s="152"/>
      <c r="O61" s="541"/>
    </row>
    <row r="62" spans="1:15">
      <c r="A62" s="740">
        <f>ROW()</f>
        <v>62</v>
      </c>
      <c r="B62" s="108" t="s">
        <v>453</v>
      </c>
      <c r="C62" s="1024" t="s">
        <v>454</v>
      </c>
      <c r="D62" s="142"/>
      <c r="E62" s="142"/>
      <c r="F62" s="142"/>
      <c r="I62" s="143"/>
      <c r="J62" s="143"/>
      <c r="K62" s="143"/>
      <c r="L62" s="143"/>
      <c r="M62" s="143"/>
      <c r="N62" s="152"/>
      <c r="O62" s="541"/>
    </row>
    <row r="63" spans="1:15">
      <c r="A63" s="740">
        <f>ROW()</f>
        <v>63</v>
      </c>
      <c r="B63" s="115" t="s">
        <v>455</v>
      </c>
      <c r="C63" s="1066">
        <f>+' Enrol &amp; Rev'!C67</f>
        <v>0.01</v>
      </c>
      <c r="D63" s="108" t="s">
        <v>456</v>
      </c>
      <c r="E63" s="115"/>
      <c r="F63" s="115"/>
      <c r="G63" s="117"/>
      <c r="H63" s="117"/>
      <c r="I63" s="87"/>
      <c r="J63" s="87"/>
      <c r="K63" s="87"/>
      <c r="L63" s="87"/>
      <c r="M63" s="87"/>
      <c r="N63" s="152"/>
      <c r="O63" s="541"/>
    </row>
    <row r="64" spans="1:15">
      <c r="A64" s="740">
        <f>ROW()</f>
        <v>64</v>
      </c>
      <c r="B64" s="150"/>
      <c r="D64" s="84"/>
      <c r="E64" s="84"/>
      <c r="F64" s="46"/>
      <c r="N64" s="152"/>
      <c r="O64" s="541"/>
    </row>
    <row r="65" spans="1:15">
      <c r="A65" s="740">
        <f>ROW()</f>
        <v>65</v>
      </c>
      <c r="B65" s="108" t="s">
        <v>457</v>
      </c>
      <c r="C65" s="248">
        <v>180</v>
      </c>
      <c r="D65" s="461"/>
      <c r="E65" s="461"/>
      <c r="F65" s="461"/>
      <c r="H65" s="117"/>
      <c r="I65" s="87"/>
      <c r="J65" s="87"/>
      <c r="K65" s="87"/>
      <c r="L65" s="87"/>
      <c r="M65" s="87"/>
      <c r="N65" s="152"/>
      <c r="O65" s="541"/>
    </row>
    <row r="66" spans="1:15">
      <c r="A66" s="740">
        <f>ROW()</f>
        <v>66</v>
      </c>
      <c r="B66" s="108" t="s">
        <v>458</v>
      </c>
      <c r="C66" s="249">
        <v>0</v>
      </c>
      <c r="D66" s="462"/>
      <c r="E66" s="462"/>
      <c r="F66" s="462"/>
      <c r="H66" s="108"/>
      <c r="I66" s="106"/>
      <c r="J66" s="106"/>
      <c r="K66" s="106"/>
      <c r="L66" s="106"/>
      <c r="M66" s="106"/>
      <c r="N66" s="152"/>
      <c r="O66" s="541"/>
    </row>
    <row r="67" spans="1:15">
      <c r="A67" s="740">
        <f>ROW()</f>
        <v>67</v>
      </c>
      <c r="B67" s="108" t="s">
        <v>459</v>
      </c>
      <c r="C67" s="249">
        <v>0</v>
      </c>
      <c r="D67" s="462"/>
      <c r="E67" s="462"/>
      <c r="F67" s="462"/>
      <c r="H67" s="108"/>
      <c r="I67" s="106"/>
      <c r="J67" s="106"/>
      <c r="K67" s="106"/>
      <c r="L67" s="106"/>
      <c r="M67" s="106"/>
      <c r="N67" s="152"/>
      <c r="O67" s="541"/>
    </row>
    <row r="68" spans="1:15">
      <c r="A68" s="740">
        <f>ROW()</f>
        <v>68</v>
      </c>
      <c r="B68" s="108" t="s">
        <v>460</v>
      </c>
      <c r="C68" s="250">
        <v>0</v>
      </c>
      <c r="D68" s="463"/>
      <c r="E68" s="463"/>
      <c r="F68" s="463"/>
      <c r="H68" s="108"/>
      <c r="I68" s="106"/>
      <c r="J68" s="106"/>
      <c r="K68" s="106"/>
      <c r="L68" s="106"/>
      <c r="M68" s="106"/>
      <c r="N68" s="152"/>
      <c r="O68" s="541"/>
    </row>
    <row r="69" spans="1:15">
      <c r="A69" s="740">
        <f>ROW()</f>
        <v>69</v>
      </c>
      <c r="B69" s="84"/>
      <c r="C69" s="84"/>
      <c r="D69" s="84"/>
      <c r="E69" s="84"/>
      <c r="F69" s="46"/>
      <c r="H69" s="160"/>
      <c r="I69" s="160"/>
      <c r="J69" s="160"/>
      <c r="K69" s="150"/>
      <c r="L69" s="150"/>
      <c r="M69" s="150"/>
      <c r="N69" s="152"/>
      <c r="O69" s="541"/>
    </row>
    <row r="70" spans="1:15" ht="15.75">
      <c r="A70" s="740">
        <f>ROW()</f>
        <v>70</v>
      </c>
      <c r="B70" s="84"/>
      <c r="C70" s="84"/>
      <c r="D70" s="84"/>
      <c r="E70" s="84"/>
      <c r="F70" s="46"/>
      <c r="G70" s="1199" t="s">
        <v>461</v>
      </c>
      <c r="H70" s="719"/>
      <c r="I70" s="719"/>
      <c r="J70" s="719"/>
      <c r="K70" s="720"/>
      <c r="L70" s="720"/>
      <c r="M70" s="720"/>
      <c r="N70" s="152"/>
      <c r="O70" s="541"/>
    </row>
    <row r="71" spans="1:15" outlineLevel="1">
      <c r="A71" s="740">
        <f>ROW()</f>
        <v>71</v>
      </c>
      <c r="B71" s="84"/>
      <c r="C71" s="103" t="s">
        <v>462</v>
      </c>
      <c r="D71" s="103" t="s">
        <v>463</v>
      </c>
      <c r="E71" s="103"/>
      <c r="F71" s="103"/>
      <c r="H71" s="160"/>
      <c r="I71" s="160"/>
      <c r="J71" s="160"/>
      <c r="K71" s="150"/>
      <c r="L71" s="150"/>
      <c r="M71" s="150"/>
      <c r="N71" s="152"/>
      <c r="O71" s="541"/>
    </row>
    <row r="72" spans="1:15" ht="30" outlineLevel="1">
      <c r="A72" s="1332">
        <f>ROW()</f>
        <v>72</v>
      </c>
      <c r="B72" s="118" t="s">
        <v>464</v>
      </c>
      <c r="C72" s="88">
        <f>' Enrol &amp; Rev'!$H$10</f>
        <v>2022</v>
      </c>
      <c r="D72" s="254" t="s">
        <v>465</v>
      </c>
      <c r="E72" s="288"/>
      <c r="F72" s="288"/>
      <c r="I72" s="194"/>
      <c r="J72" s="194"/>
      <c r="N72" s="152"/>
      <c r="O72" s="541"/>
    </row>
    <row r="73" spans="1:15" outlineLevel="1">
      <c r="A73" s="740">
        <f>ROW()</f>
        <v>73</v>
      </c>
      <c r="B73" s="1023" t="s">
        <v>466</v>
      </c>
      <c r="C73" s="277"/>
      <c r="D73" s="278"/>
      <c r="E73" s="363"/>
      <c r="F73" s="363"/>
      <c r="G73" s="1206" t="str">
        <f>+B73&amp;" "&amp;"Enter automatically or manually (hard code)"</f>
        <v>FTE Count Enter automatically or manually (hard code)</v>
      </c>
      <c r="H73" s="364"/>
      <c r="I73" s="363"/>
      <c r="J73" s="363"/>
      <c r="K73" s="364"/>
      <c r="L73" s="364"/>
      <c r="M73" s="364"/>
      <c r="N73" s="152"/>
      <c r="O73" s="431" t="s">
        <v>467</v>
      </c>
    </row>
    <row r="74" spans="1:15" outlineLevel="1">
      <c r="A74" s="740">
        <f>ROW()</f>
        <v>74</v>
      </c>
      <c r="B74" s="282" t="s">
        <v>468</v>
      </c>
      <c r="C74" s="88" t="s">
        <v>462</v>
      </c>
      <c r="D74" s="88"/>
      <c r="E74" s="88"/>
      <c r="F74" s="88"/>
      <c r="G74" s="111"/>
      <c r="H74" s="88"/>
      <c r="I74" s="88"/>
      <c r="J74" s="88"/>
      <c r="K74" s="111"/>
      <c r="L74" s="111"/>
      <c r="M74" s="111"/>
      <c r="N74" s="152"/>
      <c r="O74" s="1054" t="s">
        <v>469</v>
      </c>
    </row>
    <row r="75" spans="1:15" outlineLevel="1">
      <c r="A75" s="740">
        <f>ROW()</f>
        <v>75</v>
      </c>
      <c r="B75" s="306" t="s">
        <v>470</v>
      </c>
      <c r="C75" s="307">
        <v>2023</v>
      </c>
      <c r="D75" s="308">
        <v>88000</v>
      </c>
      <c r="E75" s="464"/>
      <c r="F75" s="464"/>
      <c r="G75" s="1068">
        <f>IF($C75&lt;=G$10,1,0)</f>
        <v>0</v>
      </c>
      <c r="H75" s="1068">
        <f t="shared" ref="G75:M79" si="12">IF($C75&lt;=H$10,1,0)</f>
        <v>1</v>
      </c>
      <c r="I75" s="1068">
        <f t="shared" si="12"/>
        <v>1</v>
      </c>
      <c r="J75" s="1068">
        <f t="shared" si="12"/>
        <v>1</v>
      </c>
      <c r="K75" s="1068">
        <f t="shared" si="12"/>
        <v>1</v>
      </c>
      <c r="L75" s="1068">
        <f t="shared" si="12"/>
        <v>1</v>
      </c>
      <c r="M75" s="1068">
        <f t="shared" si="12"/>
        <v>1</v>
      </c>
      <c r="N75" s="152"/>
      <c r="O75" s="541"/>
    </row>
    <row r="76" spans="1:15" outlineLevel="1">
      <c r="A76" s="740">
        <f>ROW()</f>
        <v>76</v>
      </c>
      <c r="B76" s="251"/>
      <c r="C76" s="252">
        <v>2023</v>
      </c>
      <c r="D76" s="256"/>
      <c r="E76" s="465"/>
      <c r="F76" s="465"/>
      <c r="G76" s="1067">
        <f>IF($C76&lt;=G$10,1,0)</f>
        <v>0</v>
      </c>
      <c r="H76" s="1067"/>
      <c r="I76" s="1067"/>
      <c r="J76" s="1067"/>
      <c r="K76" s="1067"/>
      <c r="L76" s="1067"/>
      <c r="M76" s="1067"/>
      <c r="N76" s="152"/>
      <c r="O76" s="541"/>
    </row>
    <row r="77" spans="1:15" outlineLevel="1">
      <c r="A77" s="740">
        <f>ROW()</f>
        <v>77</v>
      </c>
      <c r="B77" s="251" t="s">
        <v>471</v>
      </c>
      <c r="C77" s="252" t="s">
        <v>472</v>
      </c>
      <c r="D77" s="256">
        <v>0</v>
      </c>
      <c r="E77" s="465"/>
      <c r="F77" s="465"/>
      <c r="G77" s="1067">
        <f t="shared" si="12"/>
        <v>0</v>
      </c>
      <c r="H77" s="1067">
        <f t="shared" si="12"/>
        <v>0</v>
      </c>
      <c r="I77" s="1067">
        <f t="shared" si="12"/>
        <v>0</v>
      </c>
      <c r="J77" s="1067">
        <f t="shared" si="12"/>
        <v>0</v>
      </c>
      <c r="K77" s="1067">
        <f t="shared" si="12"/>
        <v>0</v>
      </c>
      <c r="L77" s="1067">
        <f t="shared" si="12"/>
        <v>0</v>
      </c>
      <c r="M77" s="1067">
        <f t="shared" si="12"/>
        <v>0</v>
      </c>
      <c r="N77" s="106"/>
      <c r="O77" s="541"/>
    </row>
    <row r="78" spans="1:15" outlineLevel="1">
      <c r="A78" s="740">
        <f>ROW()</f>
        <v>78</v>
      </c>
      <c r="B78" s="251" t="s">
        <v>473</v>
      </c>
      <c r="C78" s="252" t="s">
        <v>472</v>
      </c>
      <c r="D78" s="256">
        <v>0</v>
      </c>
      <c r="E78" s="465"/>
      <c r="F78" s="465"/>
      <c r="G78" s="1067">
        <f t="shared" si="12"/>
        <v>0</v>
      </c>
      <c r="H78" s="1067">
        <f t="shared" si="12"/>
        <v>0</v>
      </c>
      <c r="I78" s="1067">
        <f t="shared" si="12"/>
        <v>0</v>
      </c>
      <c r="J78" s="1067">
        <f t="shared" si="12"/>
        <v>0</v>
      </c>
      <c r="K78" s="1067">
        <f t="shared" si="12"/>
        <v>0</v>
      </c>
      <c r="L78" s="1067">
        <f t="shared" si="12"/>
        <v>0</v>
      </c>
      <c r="M78" s="1067">
        <f t="shared" si="12"/>
        <v>0</v>
      </c>
      <c r="N78" s="106"/>
      <c r="O78" s="541"/>
    </row>
    <row r="79" spans="1:15" outlineLevel="1">
      <c r="A79" s="740">
        <f>ROW()</f>
        <v>79</v>
      </c>
      <c r="B79" s="251" t="s">
        <v>474</v>
      </c>
      <c r="C79" s="252">
        <v>2028</v>
      </c>
      <c r="D79" s="256">
        <v>0</v>
      </c>
      <c r="E79" s="465"/>
      <c r="F79" s="465"/>
      <c r="G79" s="1067">
        <f t="shared" si="12"/>
        <v>0</v>
      </c>
      <c r="H79" s="1067">
        <f t="shared" si="12"/>
        <v>0</v>
      </c>
      <c r="I79" s="1067">
        <f t="shared" si="12"/>
        <v>0</v>
      </c>
      <c r="J79" s="1067">
        <f t="shared" si="12"/>
        <v>0</v>
      </c>
      <c r="K79" s="1067">
        <f t="shared" si="12"/>
        <v>0</v>
      </c>
      <c r="L79" s="1067">
        <f t="shared" si="12"/>
        <v>0</v>
      </c>
      <c r="M79" s="1067">
        <f t="shared" si="12"/>
        <v>1</v>
      </c>
      <c r="N79" s="106"/>
      <c r="O79" s="541"/>
    </row>
    <row r="80" spans="1:15" outlineLevel="1">
      <c r="A80" s="740">
        <f>ROW()</f>
        <v>80</v>
      </c>
      <c r="B80" s="84"/>
      <c r="C80" s="91"/>
      <c r="D80" s="161"/>
      <c r="E80" s="161"/>
      <c r="F80" s="161"/>
      <c r="G80" s="159"/>
      <c r="H80" s="159"/>
      <c r="I80" s="159"/>
      <c r="J80" s="159"/>
      <c r="K80" s="159"/>
      <c r="L80" s="159"/>
      <c r="M80" s="159"/>
      <c r="N80" s="106"/>
      <c r="O80" s="541"/>
    </row>
    <row r="81" spans="1:15" outlineLevel="1">
      <c r="A81" s="740">
        <f>ROW()</f>
        <v>81</v>
      </c>
      <c r="B81" s="210" t="s">
        <v>475</v>
      </c>
      <c r="C81" s="1049"/>
      <c r="D81" s="289"/>
      <c r="E81" s="289"/>
      <c r="F81" s="289"/>
      <c r="G81" s="544">
        <f t="shared" ref="G81:M81" si="13">SUM(G75:G79)</f>
        <v>0</v>
      </c>
      <c r="H81" s="544">
        <f t="shared" si="13"/>
        <v>1</v>
      </c>
      <c r="I81" s="544">
        <f t="shared" si="13"/>
        <v>1</v>
      </c>
      <c r="J81" s="544">
        <f t="shared" si="13"/>
        <v>1</v>
      </c>
      <c r="K81" s="544">
        <f t="shared" si="13"/>
        <v>1</v>
      </c>
      <c r="L81" s="544">
        <f t="shared" si="13"/>
        <v>1</v>
      </c>
      <c r="M81" s="544">
        <f t="shared" si="13"/>
        <v>2</v>
      </c>
      <c r="N81" s="106"/>
      <c r="O81" s="541"/>
    </row>
    <row r="82" spans="1:15" outlineLevel="1">
      <c r="A82" s="740">
        <f>ROW()</f>
        <v>82</v>
      </c>
      <c r="B82" s="285"/>
      <c r="C82" s="285"/>
      <c r="D82" s="286"/>
      <c r="E82" s="286"/>
      <c r="F82" s="286"/>
      <c r="G82" s="283"/>
      <c r="H82" s="283"/>
      <c r="I82" s="275"/>
      <c r="J82" s="275"/>
      <c r="K82" s="275"/>
      <c r="L82" s="275"/>
      <c r="M82" s="275"/>
      <c r="N82" s="159"/>
      <c r="O82" s="541"/>
    </row>
    <row r="83" spans="1:15" outlineLevel="1">
      <c r="A83" s="740">
        <f>ROW()</f>
        <v>83</v>
      </c>
      <c r="B83" s="282" t="s">
        <v>476</v>
      </c>
      <c r="C83" s="111"/>
      <c r="D83" s="310"/>
      <c r="E83" s="310"/>
      <c r="F83" s="310"/>
      <c r="G83" s="311"/>
      <c r="H83" s="311"/>
      <c r="I83" s="293"/>
      <c r="J83" s="293"/>
      <c r="K83" s="293"/>
      <c r="L83" s="293"/>
      <c r="M83" s="293"/>
      <c r="N83" s="159"/>
      <c r="O83" s="541"/>
    </row>
    <row r="84" spans="1:15" outlineLevel="1">
      <c r="A84" s="740">
        <f>ROW()</f>
        <v>84</v>
      </c>
      <c r="B84" s="306" t="s">
        <v>477</v>
      </c>
      <c r="C84" s="307">
        <v>2023</v>
      </c>
      <c r="D84" s="309">
        <v>47000</v>
      </c>
      <c r="E84" s="466"/>
      <c r="F84" s="466"/>
      <c r="G84" s="1068">
        <f t="shared" ref="G84:M87" si="14">IF($C84&lt;=G$10,1,0)</f>
        <v>0</v>
      </c>
      <c r="H84" s="1068">
        <f t="shared" si="14"/>
        <v>1</v>
      </c>
      <c r="I84" s="1068">
        <f t="shared" si="14"/>
        <v>1</v>
      </c>
      <c r="J84" s="1068">
        <f t="shared" si="14"/>
        <v>1</v>
      </c>
      <c r="K84" s="1068">
        <f t="shared" si="14"/>
        <v>1</v>
      </c>
      <c r="L84" s="1068">
        <f t="shared" si="14"/>
        <v>1</v>
      </c>
      <c r="M84" s="1068">
        <f t="shared" si="14"/>
        <v>1</v>
      </c>
      <c r="N84" s="159"/>
      <c r="O84" s="541"/>
    </row>
    <row r="85" spans="1:15" outlineLevel="1">
      <c r="A85" s="740">
        <f>ROW()</f>
        <v>85</v>
      </c>
      <c r="B85" s="251" t="s">
        <v>1251</v>
      </c>
      <c r="C85" s="252">
        <v>2025</v>
      </c>
      <c r="D85" s="256">
        <v>40000</v>
      </c>
      <c r="E85" s="465"/>
      <c r="F85" s="465"/>
      <c r="G85" s="1067">
        <f t="shared" si="14"/>
        <v>0</v>
      </c>
      <c r="H85" s="1067">
        <f t="shared" si="14"/>
        <v>0</v>
      </c>
      <c r="I85" s="1067">
        <f t="shared" si="14"/>
        <v>0</v>
      </c>
      <c r="J85" s="1067">
        <f t="shared" si="14"/>
        <v>1</v>
      </c>
      <c r="K85" s="1067">
        <f t="shared" si="14"/>
        <v>1</v>
      </c>
      <c r="L85" s="1067">
        <f t="shared" si="14"/>
        <v>1</v>
      </c>
      <c r="M85" s="1067">
        <f t="shared" si="14"/>
        <v>1</v>
      </c>
      <c r="N85" s="159"/>
      <c r="O85" s="541"/>
    </row>
    <row r="86" spans="1:15" outlineLevel="1">
      <c r="A86" s="740">
        <f>ROW()</f>
        <v>86</v>
      </c>
      <c r="B86" s="251" t="s">
        <v>478</v>
      </c>
      <c r="C86" s="252" t="s">
        <v>472</v>
      </c>
      <c r="D86" s="256">
        <v>0</v>
      </c>
      <c r="E86" s="465"/>
      <c r="F86" s="465"/>
      <c r="G86" s="1067">
        <f t="shared" si="14"/>
        <v>0</v>
      </c>
      <c r="H86" s="1067">
        <f t="shared" si="14"/>
        <v>0</v>
      </c>
      <c r="I86" s="1067">
        <f t="shared" si="14"/>
        <v>0</v>
      </c>
      <c r="J86" s="1067">
        <f t="shared" si="14"/>
        <v>0</v>
      </c>
      <c r="K86" s="1067">
        <f t="shared" si="14"/>
        <v>0</v>
      </c>
      <c r="L86" s="1067">
        <f t="shared" si="14"/>
        <v>0</v>
      </c>
      <c r="M86" s="1067">
        <f t="shared" si="14"/>
        <v>0</v>
      </c>
      <c r="N86" s="159"/>
      <c r="O86" s="541"/>
    </row>
    <row r="87" spans="1:15" outlineLevel="1">
      <c r="A87" s="740">
        <f>ROW()</f>
        <v>87</v>
      </c>
      <c r="B87" s="251" t="s">
        <v>479</v>
      </c>
      <c r="C87" s="253" t="s">
        <v>472</v>
      </c>
      <c r="D87" s="257">
        <v>0</v>
      </c>
      <c r="E87" s="465"/>
      <c r="F87" s="465"/>
      <c r="G87" s="1067">
        <f t="shared" si="14"/>
        <v>0</v>
      </c>
      <c r="H87" s="1067">
        <f t="shared" si="14"/>
        <v>0</v>
      </c>
      <c r="I87" s="1067">
        <f t="shared" si="14"/>
        <v>0</v>
      </c>
      <c r="J87" s="1067">
        <f t="shared" si="14"/>
        <v>0</v>
      </c>
      <c r="K87" s="1067">
        <f t="shared" si="14"/>
        <v>0</v>
      </c>
      <c r="L87" s="1067">
        <f t="shared" si="14"/>
        <v>0</v>
      </c>
      <c r="M87" s="1067">
        <f t="shared" si="14"/>
        <v>0</v>
      </c>
      <c r="N87" s="159"/>
      <c r="O87" s="541"/>
    </row>
    <row r="88" spans="1:15" outlineLevel="1">
      <c r="A88" s="740">
        <f>ROW()</f>
        <v>88</v>
      </c>
      <c r="B88" s="106"/>
      <c r="C88" s="106"/>
      <c r="D88" s="162"/>
      <c r="E88" s="162"/>
      <c r="F88" s="162"/>
      <c r="G88" s="159"/>
      <c r="H88" s="159"/>
      <c r="I88" s="159"/>
      <c r="J88" s="159"/>
      <c r="K88" s="159"/>
      <c r="L88" s="159"/>
      <c r="M88" s="159"/>
      <c r="N88" s="159"/>
      <c r="O88" s="541"/>
    </row>
    <row r="89" spans="1:15" outlineLevel="1">
      <c r="A89" s="740">
        <f>ROW()</f>
        <v>89</v>
      </c>
      <c r="B89" s="210" t="s">
        <v>480</v>
      </c>
      <c r="C89" s="1049"/>
      <c r="D89" s="290"/>
      <c r="E89" s="290"/>
      <c r="F89" s="290"/>
      <c r="G89" s="544">
        <f t="shared" ref="G89:M89" si="15">SUM(G84:G87)+G81</f>
        <v>0</v>
      </c>
      <c r="H89" s="544">
        <f t="shared" si="15"/>
        <v>2</v>
      </c>
      <c r="I89" s="544">
        <f t="shared" si="15"/>
        <v>2</v>
      </c>
      <c r="J89" s="544">
        <f t="shared" si="15"/>
        <v>3</v>
      </c>
      <c r="K89" s="544">
        <f t="shared" si="15"/>
        <v>3</v>
      </c>
      <c r="L89" s="544">
        <f t="shared" si="15"/>
        <v>3</v>
      </c>
      <c r="M89" s="544">
        <f t="shared" si="15"/>
        <v>4</v>
      </c>
      <c r="N89" s="159"/>
      <c r="O89" s="541"/>
    </row>
    <row r="90" spans="1:15" outlineLevel="1">
      <c r="A90" s="740">
        <f>ROW()</f>
        <v>90</v>
      </c>
      <c r="B90" s="272"/>
      <c r="C90" s="272"/>
      <c r="D90" s="273"/>
      <c r="E90" s="273"/>
      <c r="F90" s="273"/>
      <c r="G90" s="274"/>
      <c r="H90" s="274"/>
      <c r="I90" s="274"/>
      <c r="J90" s="275"/>
      <c r="K90" s="275"/>
      <c r="L90" s="275"/>
      <c r="M90" s="275"/>
      <c r="N90" s="159"/>
      <c r="O90" s="541"/>
    </row>
    <row r="91" spans="1:15" outlineLevel="1">
      <c r="A91" s="740">
        <f>ROW()</f>
        <v>91</v>
      </c>
      <c r="B91" s="282" t="s">
        <v>481</v>
      </c>
      <c r="C91" s="111"/>
      <c r="D91" s="310"/>
      <c r="E91" s="310"/>
      <c r="F91" s="310"/>
      <c r="G91" s="189"/>
      <c r="H91" s="189"/>
      <c r="I91" s="189"/>
      <c r="J91" s="293"/>
      <c r="K91" s="293"/>
      <c r="L91" s="293"/>
      <c r="M91" s="293"/>
      <c r="N91" s="159"/>
      <c r="O91" s="541"/>
    </row>
    <row r="92" spans="1:15" outlineLevel="1">
      <c r="A92" s="740">
        <f>ROW()</f>
        <v>92</v>
      </c>
      <c r="B92" s="312" t="s">
        <v>1326</v>
      </c>
      <c r="C92" s="313">
        <v>2023</v>
      </c>
      <c r="D92" s="314">
        <v>53000</v>
      </c>
      <c r="E92" s="466"/>
      <c r="F92" s="466"/>
      <c r="G92" s="1068">
        <f t="shared" ref="G92:M100" si="16">IF($C92&lt;=G$10,1,0)</f>
        <v>0</v>
      </c>
      <c r="H92" s="1068">
        <f t="shared" si="16"/>
        <v>1</v>
      </c>
      <c r="I92" s="1068">
        <f t="shared" si="16"/>
        <v>1</v>
      </c>
      <c r="J92" s="1068">
        <f t="shared" si="16"/>
        <v>1</v>
      </c>
      <c r="K92" s="1068">
        <f t="shared" si="16"/>
        <v>1</v>
      </c>
      <c r="L92" s="1068">
        <f t="shared" si="16"/>
        <v>1</v>
      </c>
      <c r="M92" s="1068">
        <f t="shared" si="16"/>
        <v>1</v>
      </c>
      <c r="N92" s="159"/>
      <c r="O92" s="541"/>
    </row>
    <row r="93" spans="1:15" outlineLevel="1">
      <c r="A93" s="740">
        <f>ROW()</f>
        <v>93</v>
      </c>
      <c r="B93" s="246" t="s">
        <v>1252</v>
      </c>
      <c r="C93" s="247">
        <v>2024</v>
      </c>
      <c r="D93" s="258">
        <v>50000</v>
      </c>
      <c r="E93" s="465"/>
      <c r="F93" s="465"/>
      <c r="G93" s="1067">
        <f t="shared" si="16"/>
        <v>0</v>
      </c>
      <c r="H93" s="1067">
        <f t="shared" si="16"/>
        <v>0</v>
      </c>
      <c r="I93" s="1067">
        <f t="shared" si="16"/>
        <v>1</v>
      </c>
      <c r="J93" s="1067">
        <f t="shared" si="16"/>
        <v>1</v>
      </c>
      <c r="K93" s="1067">
        <f t="shared" si="16"/>
        <v>1</v>
      </c>
      <c r="L93" s="1067">
        <f t="shared" si="16"/>
        <v>1</v>
      </c>
      <c r="M93" s="1067">
        <f t="shared" si="16"/>
        <v>1</v>
      </c>
      <c r="N93" s="159"/>
      <c r="O93" s="541"/>
    </row>
    <row r="94" spans="1:15" outlineLevel="1">
      <c r="A94" s="740">
        <f>ROW()</f>
        <v>94</v>
      </c>
      <c r="B94" s="246" t="s">
        <v>482</v>
      </c>
      <c r="C94" s="247" t="s">
        <v>472</v>
      </c>
      <c r="D94" s="258">
        <v>0</v>
      </c>
      <c r="E94" s="465"/>
      <c r="F94" s="465"/>
      <c r="G94" s="1067">
        <f t="shared" si="16"/>
        <v>0</v>
      </c>
      <c r="H94" s="1067">
        <f t="shared" si="16"/>
        <v>0</v>
      </c>
      <c r="I94" s="1067">
        <f t="shared" si="16"/>
        <v>0</v>
      </c>
      <c r="J94" s="1067">
        <f t="shared" si="16"/>
        <v>0</v>
      </c>
      <c r="K94" s="1067">
        <f t="shared" si="16"/>
        <v>0</v>
      </c>
      <c r="L94" s="1067">
        <f t="shared" si="16"/>
        <v>0</v>
      </c>
      <c r="M94" s="1067">
        <f t="shared" si="16"/>
        <v>0</v>
      </c>
      <c r="N94" s="159"/>
      <c r="O94" s="541"/>
    </row>
    <row r="95" spans="1:15" outlineLevel="1">
      <c r="A95" s="740">
        <f>ROW()</f>
        <v>95</v>
      </c>
      <c r="B95" s="246" t="s">
        <v>483</v>
      </c>
      <c r="C95" s="247" t="s">
        <v>472</v>
      </c>
      <c r="D95" s="258">
        <v>0</v>
      </c>
      <c r="E95" s="465"/>
      <c r="F95" s="465"/>
      <c r="G95" s="1067">
        <f t="shared" si="16"/>
        <v>0</v>
      </c>
      <c r="H95" s="1067">
        <f t="shared" si="16"/>
        <v>0</v>
      </c>
      <c r="I95" s="1067">
        <f t="shared" si="16"/>
        <v>0</v>
      </c>
      <c r="J95" s="1067">
        <f t="shared" si="16"/>
        <v>0</v>
      </c>
      <c r="K95" s="1067">
        <f t="shared" si="16"/>
        <v>0</v>
      </c>
      <c r="L95" s="1067">
        <f t="shared" si="16"/>
        <v>0</v>
      </c>
      <c r="M95" s="1067">
        <f t="shared" si="16"/>
        <v>0</v>
      </c>
      <c r="N95" s="159"/>
      <c r="O95" s="541"/>
    </row>
    <row r="96" spans="1:15" outlineLevel="1">
      <c r="A96" s="740">
        <f>ROW()</f>
        <v>96</v>
      </c>
      <c r="B96" s="246" t="s">
        <v>484</v>
      </c>
      <c r="C96" s="247" t="s">
        <v>472</v>
      </c>
      <c r="D96" s="258">
        <v>0</v>
      </c>
      <c r="E96" s="465"/>
      <c r="F96" s="465"/>
      <c r="G96" s="1067">
        <f t="shared" si="16"/>
        <v>0</v>
      </c>
      <c r="H96" s="1067">
        <f t="shared" si="16"/>
        <v>0</v>
      </c>
      <c r="I96" s="1067">
        <f t="shared" si="16"/>
        <v>0</v>
      </c>
      <c r="J96" s="1067">
        <f t="shared" si="16"/>
        <v>0</v>
      </c>
      <c r="K96" s="1067">
        <f t="shared" si="16"/>
        <v>0</v>
      </c>
      <c r="L96" s="1067">
        <f t="shared" si="16"/>
        <v>0</v>
      </c>
      <c r="M96" s="1067">
        <f t="shared" si="16"/>
        <v>0</v>
      </c>
      <c r="N96" s="159"/>
      <c r="O96" s="541"/>
    </row>
    <row r="97" spans="1:15" outlineLevel="1">
      <c r="A97" s="740">
        <f>ROW()</f>
        <v>97</v>
      </c>
      <c r="B97" s="246" t="s">
        <v>485</v>
      </c>
      <c r="C97" s="247" t="s">
        <v>472</v>
      </c>
      <c r="D97" s="258">
        <v>0</v>
      </c>
      <c r="E97" s="465"/>
      <c r="F97" s="465"/>
      <c r="G97" s="1067">
        <f t="shared" si="16"/>
        <v>0</v>
      </c>
      <c r="H97" s="1067">
        <f t="shared" si="16"/>
        <v>0</v>
      </c>
      <c r="I97" s="1067">
        <f t="shared" si="16"/>
        <v>0</v>
      </c>
      <c r="J97" s="1067">
        <f t="shared" si="16"/>
        <v>0</v>
      </c>
      <c r="K97" s="1067">
        <f t="shared" si="16"/>
        <v>0</v>
      </c>
      <c r="L97" s="1067">
        <f t="shared" si="16"/>
        <v>0</v>
      </c>
      <c r="M97" s="1067">
        <f t="shared" si="16"/>
        <v>0</v>
      </c>
      <c r="N97" s="159"/>
      <c r="O97" s="541"/>
    </row>
    <row r="98" spans="1:15" outlineLevel="1">
      <c r="A98" s="740">
        <f>ROW()</f>
        <v>98</v>
      </c>
      <c r="B98" s="246" t="s">
        <v>486</v>
      </c>
      <c r="C98" s="247" t="s">
        <v>472</v>
      </c>
      <c r="D98" s="258">
        <v>0</v>
      </c>
      <c r="E98" s="465"/>
      <c r="F98" s="465"/>
      <c r="G98" s="1067">
        <f t="shared" si="16"/>
        <v>0</v>
      </c>
      <c r="H98" s="1067">
        <f t="shared" si="16"/>
        <v>0</v>
      </c>
      <c r="I98" s="1067">
        <f t="shared" si="16"/>
        <v>0</v>
      </c>
      <c r="J98" s="1067">
        <f t="shared" si="16"/>
        <v>0</v>
      </c>
      <c r="K98" s="1067">
        <f t="shared" si="16"/>
        <v>0</v>
      </c>
      <c r="L98" s="1067">
        <f t="shared" si="16"/>
        <v>0</v>
      </c>
      <c r="M98" s="1067">
        <f t="shared" si="16"/>
        <v>0</v>
      </c>
      <c r="N98" s="159"/>
      <c r="O98" s="541"/>
    </row>
    <row r="99" spans="1:15" outlineLevel="1">
      <c r="A99" s="740">
        <f>ROW()</f>
        <v>99</v>
      </c>
      <c r="B99" s="246" t="s">
        <v>486</v>
      </c>
      <c r="C99" s="247" t="s">
        <v>472</v>
      </c>
      <c r="D99" s="258">
        <v>0</v>
      </c>
      <c r="E99" s="465"/>
      <c r="F99" s="465"/>
      <c r="G99" s="1067">
        <f t="shared" si="16"/>
        <v>0</v>
      </c>
      <c r="H99" s="1067">
        <f t="shared" si="16"/>
        <v>0</v>
      </c>
      <c r="I99" s="1067">
        <f t="shared" si="16"/>
        <v>0</v>
      </c>
      <c r="J99" s="1067">
        <f t="shared" si="16"/>
        <v>0</v>
      </c>
      <c r="K99" s="1067">
        <f t="shared" si="16"/>
        <v>0</v>
      </c>
      <c r="L99" s="1067">
        <f t="shared" si="16"/>
        <v>0</v>
      </c>
      <c r="M99" s="1067">
        <f t="shared" si="16"/>
        <v>0</v>
      </c>
      <c r="N99" s="159"/>
      <c r="O99" s="541"/>
    </row>
    <row r="100" spans="1:15" outlineLevel="1">
      <c r="A100" s="740">
        <f>ROW()</f>
        <v>100</v>
      </c>
      <c r="B100" s="246" t="s">
        <v>486</v>
      </c>
      <c r="C100" s="247" t="s">
        <v>472</v>
      </c>
      <c r="D100" s="258">
        <v>0</v>
      </c>
      <c r="E100" s="465"/>
      <c r="F100" s="465"/>
      <c r="G100" s="1069">
        <f t="shared" si="16"/>
        <v>0</v>
      </c>
      <c r="H100" s="1069">
        <f t="shared" si="16"/>
        <v>0</v>
      </c>
      <c r="I100" s="1069">
        <f t="shared" si="16"/>
        <v>0</v>
      </c>
      <c r="J100" s="1069">
        <f t="shared" si="16"/>
        <v>0</v>
      </c>
      <c r="K100" s="1069">
        <f t="shared" si="16"/>
        <v>0</v>
      </c>
      <c r="L100" s="1069">
        <f t="shared" si="16"/>
        <v>0</v>
      </c>
      <c r="M100" s="1069">
        <f t="shared" si="16"/>
        <v>0</v>
      </c>
      <c r="N100" s="159"/>
      <c r="O100" s="541"/>
    </row>
    <row r="101" spans="1:15" outlineLevel="1">
      <c r="A101" s="740">
        <f>ROW()</f>
        <v>101</v>
      </c>
      <c r="B101" s="210" t="s">
        <v>487</v>
      </c>
      <c r="C101" s="210"/>
      <c r="D101" s="210"/>
      <c r="E101" s="210"/>
      <c r="F101" s="210"/>
      <c r="G101" s="1837">
        <f t="shared" ref="G101:M101" si="17">SUM(G92:G100)</f>
        <v>0</v>
      </c>
      <c r="H101" s="1837">
        <f t="shared" si="17"/>
        <v>1</v>
      </c>
      <c r="I101" s="544">
        <f t="shared" si="17"/>
        <v>2</v>
      </c>
      <c r="J101" s="544">
        <f t="shared" si="17"/>
        <v>2</v>
      </c>
      <c r="K101" s="544">
        <f t="shared" si="17"/>
        <v>2</v>
      </c>
      <c r="L101" s="544">
        <f t="shared" si="17"/>
        <v>2</v>
      </c>
      <c r="M101" s="544">
        <f t="shared" si="17"/>
        <v>2</v>
      </c>
      <c r="N101" s="159"/>
      <c r="O101" s="541"/>
    </row>
    <row r="102" spans="1:15" outlineLevel="1">
      <c r="A102" s="740">
        <f>ROW()</f>
        <v>102</v>
      </c>
      <c r="B102" s="276"/>
      <c r="C102" s="276"/>
      <c r="D102" s="276"/>
      <c r="E102" s="276"/>
      <c r="F102" s="276"/>
      <c r="G102" s="283"/>
      <c r="H102" s="283"/>
      <c r="I102" s="284"/>
      <c r="J102" s="284"/>
      <c r="K102" s="284"/>
      <c r="L102" s="284"/>
      <c r="M102" s="284"/>
      <c r="N102" s="159"/>
      <c r="O102" s="541"/>
    </row>
    <row r="103" spans="1:15" ht="15.75" outlineLevel="1">
      <c r="A103" s="740">
        <f>ROW()</f>
        <v>103</v>
      </c>
      <c r="B103" s="292" t="s">
        <v>488</v>
      </c>
      <c r="C103" s="111"/>
      <c r="D103" s="310"/>
      <c r="E103" s="310"/>
      <c r="F103" s="310"/>
      <c r="G103" s="189"/>
      <c r="H103" s="189"/>
      <c r="I103" s="189"/>
      <c r="J103" s="293"/>
      <c r="K103" s="293"/>
      <c r="L103" s="293"/>
      <c r="M103" s="293"/>
      <c r="N103" s="159"/>
      <c r="O103" s="541"/>
    </row>
    <row r="104" spans="1:15" outlineLevel="1">
      <c r="A104" s="740">
        <f>ROW()</f>
        <v>104</v>
      </c>
      <c r="B104" s="312" t="s">
        <v>1253</v>
      </c>
      <c r="C104" s="313">
        <v>2023</v>
      </c>
      <c r="D104" s="314">
        <v>53000</v>
      </c>
      <c r="E104" s="466"/>
      <c r="F104" s="466"/>
      <c r="G104" s="1068">
        <f t="shared" ref="G104:M112" si="18">IF($C104&lt;=G$10,1,0)</f>
        <v>0</v>
      </c>
      <c r="H104" s="1068">
        <f t="shared" si="18"/>
        <v>1</v>
      </c>
      <c r="I104" s="1068">
        <f t="shared" si="18"/>
        <v>1</v>
      </c>
      <c r="J104" s="1068">
        <f t="shared" si="18"/>
        <v>1</v>
      </c>
      <c r="K104" s="1068">
        <f t="shared" si="18"/>
        <v>1</v>
      </c>
      <c r="L104" s="1068">
        <f t="shared" si="18"/>
        <v>1</v>
      </c>
      <c r="M104" s="1068">
        <f t="shared" si="18"/>
        <v>1</v>
      </c>
      <c r="N104" s="159"/>
      <c r="O104" s="541"/>
    </row>
    <row r="105" spans="1:15" outlineLevel="1">
      <c r="A105" s="740">
        <f>ROW()</f>
        <v>105</v>
      </c>
      <c r="B105" s="312" t="s">
        <v>489</v>
      </c>
      <c r="C105" s="247">
        <v>2023</v>
      </c>
      <c r="D105" s="258">
        <v>50000</v>
      </c>
      <c r="E105" s="465"/>
      <c r="F105" s="465"/>
      <c r="G105" s="1067">
        <f t="shared" si="18"/>
        <v>0</v>
      </c>
      <c r="H105" s="1067">
        <f t="shared" si="18"/>
        <v>1</v>
      </c>
      <c r="I105" s="1067">
        <f t="shared" si="18"/>
        <v>1</v>
      </c>
      <c r="J105" s="1067">
        <f t="shared" si="18"/>
        <v>1</v>
      </c>
      <c r="K105" s="1067">
        <f t="shared" si="18"/>
        <v>1</v>
      </c>
      <c r="L105" s="1067">
        <f t="shared" si="18"/>
        <v>1</v>
      </c>
      <c r="M105" s="1067">
        <f t="shared" si="18"/>
        <v>1</v>
      </c>
      <c r="N105" s="159"/>
      <c r="O105" s="541"/>
    </row>
    <row r="106" spans="1:15" outlineLevel="1">
      <c r="A106" s="740">
        <f>ROW()</f>
        <v>106</v>
      </c>
      <c r="B106" s="312" t="s">
        <v>489</v>
      </c>
      <c r="C106" s="247">
        <v>2025</v>
      </c>
      <c r="D106" s="258">
        <v>50000</v>
      </c>
      <c r="E106" s="465"/>
      <c r="F106" s="465"/>
      <c r="G106" s="1067">
        <f t="shared" si="18"/>
        <v>0</v>
      </c>
      <c r="H106" s="1067">
        <f t="shared" si="18"/>
        <v>0</v>
      </c>
      <c r="I106" s="1067">
        <f t="shared" si="18"/>
        <v>0</v>
      </c>
      <c r="J106" s="1067">
        <f t="shared" si="18"/>
        <v>1</v>
      </c>
      <c r="K106" s="1067">
        <f t="shared" si="18"/>
        <v>1</v>
      </c>
      <c r="L106" s="1067">
        <f t="shared" si="18"/>
        <v>1</v>
      </c>
      <c r="M106" s="1067">
        <f t="shared" si="18"/>
        <v>1</v>
      </c>
      <c r="N106" s="159"/>
      <c r="O106" s="541"/>
    </row>
    <row r="107" spans="1:15" outlineLevel="1">
      <c r="A107" s="740">
        <f>ROW()</f>
        <v>107</v>
      </c>
      <c r="B107" s="246" t="s">
        <v>1254</v>
      </c>
      <c r="C107" s="247">
        <v>2026</v>
      </c>
      <c r="D107" s="258">
        <v>50000</v>
      </c>
      <c r="E107" s="465"/>
      <c r="F107" s="465"/>
      <c r="G107" s="1067">
        <f t="shared" si="18"/>
        <v>0</v>
      </c>
      <c r="H107" s="1067">
        <f t="shared" si="18"/>
        <v>0</v>
      </c>
      <c r="I107" s="1067">
        <f t="shared" si="18"/>
        <v>0</v>
      </c>
      <c r="J107" s="1067">
        <f t="shared" si="18"/>
        <v>0</v>
      </c>
      <c r="K107" s="1067">
        <f t="shared" si="18"/>
        <v>1</v>
      </c>
      <c r="L107" s="1067">
        <f t="shared" si="18"/>
        <v>1</v>
      </c>
      <c r="M107" s="1067">
        <f t="shared" si="18"/>
        <v>1</v>
      </c>
      <c r="N107" s="159"/>
      <c r="O107" s="541"/>
    </row>
    <row r="108" spans="1:15" outlineLevel="1">
      <c r="A108" s="740">
        <f>ROW()</f>
        <v>108</v>
      </c>
      <c r="B108" s="246"/>
      <c r="C108" s="247" t="s">
        <v>472</v>
      </c>
      <c r="D108" s="258">
        <v>0</v>
      </c>
      <c r="E108" s="465"/>
      <c r="F108" s="465"/>
      <c r="G108" s="1067">
        <f t="shared" si="18"/>
        <v>0</v>
      </c>
      <c r="H108" s="1067">
        <f t="shared" si="18"/>
        <v>0</v>
      </c>
      <c r="I108" s="1067">
        <f t="shared" si="18"/>
        <v>0</v>
      </c>
      <c r="J108" s="1067">
        <f t="shared" si="18"/>
        <v>0</v>
      </c>
      <c r="K108" s="1067">
        <f t="shared" si="18"/>
        <v>0</v>
      </c>
      <c r="L108" s="1067">
        <f t="shared" si="18"/>
        <v>0</v>
      </c>
      <c r="M108" s="1067">
        <f t="shared" si="18"/>
        <v>0</v>
      </c>
      <c r="N108" s="159"/>
      <c r="O108" s="541"/>
    </row>
    <row r="109" spans="1:15" outlineLevel="1">
      <c r="A109" s="740">
        <f>ROW()</f>
        <v>109</v>
      </c>
      <c r="B109" s="246"/>
      <c r="C109" s="247" t="s">
        <v>472</v>
      </c>
      <c r="D109" s="258">
        <v>0</v>
      </c>
      <c r="E109" s="465"/>
      <c r="F109" s="465"/>
      <c r="G109" s="1067">
        <f t="shared" si="18"/>
        <v>0</v>
      </c>
      <c r="H109" s="1067">
        <f t="shared" si="18"/>
        <v>0</v>
      </c>
      <c r="I109" s="1067">
        <f t="shared" si="18"/>
        <v>0</v>
      </c>
      <c r="J109" s="1067">
        <f t="shared" si="18"/>
        <v>0</v>
      </c>
      <c r="K109" s="1067">
        <f t="shared" si="18"/>
        <v>0</v>
      </c>
      <c r="L109" s="1067">
        <f t="shared" si="18"/>
        <v>0</v>
      </c>
      <c r="M109" s="1067">
        <f t="shared" si="18"/>
        <v>0</v>
      </c>
      <c r="N109" s="159"/>
      <c r="O109" s="541"/>
    </row>
    <row r="110" spans="1:15" outlineLevel="1">
      <c r="A110" s="740">
        <f>ROW()</f>
        <v>110</v>
      </c>
      <c r="B110" s="246"/>
      <c r="C110" s="247" t="s">
        <v>472</v>
      </c>
      <c r="D110" s="258">
        <v>0</v>
      </c>
      <c r="E110" s="465"/>
      <c r="F110" s="465"/>
      <c r="G110" s="1067">
        <f t="shared" si="18"/>
        <v>0</v>
      </c>
      <c r="H110" s="1067">
        <f t="shared" si="18"/>
        <v>0</v>
      </c>
      <c r="I110" s="1067">
        <f t="shared" si="18"/>
        <v>0</v>
      </c>
      <c r="J110" s="1067">
        <f t="shared" si="18"/>
        <v>0</v>
      </c>
      <c r="K110" s="1067">
        <f t="shared" si="18"/>
        <v>0</v>
      </c>
      <c r="L110" s="1067">
        <f t="shared" si="18"/>
        <v>0</v>
      </c>
      <c r="M110" s="1067">
        <f t="shared" si="18"/>
        <v>0</v>
      </c>
      <c r="N110" s="159"/>
      <c r="O110" s="541"/>
    </row>
    <row r="111" spans="1:15" outlineLevel="1">
      <c r="A111" s="740">
        <f>ROW()</f>
        <v>111</v>
      </c>
      <c r="B111" s="246"/>
      <c r="C111" s="247" t="s">
        <v>472</v>
      </c>
      <c r="D111" s="258">
        <v>0</v>
      </c>
      <c r="E111" s="465"/>
      <c r="F111" s="465"/>
      <c r="G111" s="1067">
        <f t="shared" si="18"/>
        <v>0</v>
      </c>
      <c r="H111" s="1067">
        <f t="shared" si="18"/>
        <v>0</v>
      </c>
      <c r="I111" s="1067">
        <f t="shared" si="18"/>
        <v>0</v>
      </c>
      <c r="J111" s="1067">
        <f t="shared" si="18"/>
        <v>0</v>
      </c>
      <c r="K111" s="1067">
        <f t="shared" si="18"/>
        <v>0</v>
      </c>
      <c r="L111" s="1067">
        <f t="shared" si="18"/>
        <v>0</v>
      </c>
      <c r="M111" s="1067">
        <f t="shared" si="18"/>
        <v>0</v>
      </c>
      <c r="N111" s="159"/>
      <c r="O111" s="541"/>
    </row>
    <row r="112" spans="1:15" outlineLevel="1">
      <c r="A112" s="740">
        <f>ROW()</f>
        <v>112</v>
      </c>
      <c r="B112" s="246"/>
      <c r="C112" s="247" t="s">
        <v>472</v>
      </c>
      <c r="D112" s="258"/>
      <c r="E112" s="465"/>
      <c r="F112" s="465"/>
      <c r="G112" s="1069">
        <f t="shared" si="18"/>
        <v>0</v>
      </c>
      <c r="H112" s="1069">
        <f t="shared" si="18"/>
        <v>0</v>
      </c>
      <c r="I112" s="1069">
        <f t="shared" si="18"/>
        <v>0</v>
      </c>
      <c r="J112" s="1069">
        <f t="shared" si="18"/>
        <v>0</v>
      </c>
      <c r="K112" s="1069">
        <f t="shared" si="18"/>
        <v>0</v>
      </c>
      <c r="L112" s="1069">
        <f t="shared" si="18"/>
        <v>0</v>
      </c>
      <c r="M112" s="1069">
        <f t="shared" si="18"/>
        <v>0</v>
      </c>
      <c r="N112" s="159"/>
      <c r="O112" s="541"/>
    </row>
    <row r="113" spans="1:15" outlineLevel="1">
      <c r="A113" s="740">
        <f>ROW()</f>
        <v>113</v>
      </c>
      <c r="B113" s="210" t="s">
        <v>490</v>
      </c>
      <c r="C113" s="210"/>
      <c r="D113" s="210"/>
      <c r="E113" s="210"/>
      <c r="F113" s="210"/>
      <c r="G113" s="1837">
        <f t="shared" ref="G113:M113" si="19">SUM(G104:G112)</f>
        <v>0</v>
      </c>
      <c r="H113" s="1837">
        <f t="shared" si="19"/>
        <v>2</v>
      </c>
      <c r="I113" s="544">
        <f t="shared" si="19"/>
        <v>2</v>
      </c>
      <c r="J113" s="544">
        <f t="shared" si="19"/>
        <v>3</v>
      </c>
      <c r="K113" s="544">
        <f t="shared" si="19"/>
        <v>4</v>
      </c>
      <c r="L113" s="544">
        <f t="shared" si="19"/>
        <v>4</v>
      </c>
      <c r="M113" s="544">
        <f t="shared" si="19"/>
        <v>4</v>
      </c>
      <c r="N113" s="159"/>
      <c r="O113" s="541"/>
    </row>
    <row r="114" spans="1:15" outlineLevel="1">
      <c r="A114" s="740">
        <f>ROW()</f>
        <v>114</v>
      </c>
      <c r="B114" s="276"/>
      <c r="C114" s="276"/>
      <c r="D114" s="276"/>
      <c r="E114" s="276"/>
      <c r="F114" s="276"/>
      <c r="G114" s="283"/>
      <c r="H114" s="283"/>
      <c r="I114" s="283"/>
      <c r="J114" s="283"/>
      <c r="K114" s="283"/>
      <c r="L114" s="283"/>
      <c r="M114" s="283"/>
      <c r="N114" s="159"/>
      <c r="O114" s="541"/>
    </row>
    <row r="115" spans="1:15" ht="15.75" outlineLevel="1">
      <c r="A115" s="740">
        <f>ROW()</f>
        <v>115</v>
      </c>
      <c r="B115" s="292" t="s">
        <v>491</v>
      </c>
      <c r="C115" s="111"/>
      <c r="D115" s="310"/>
      <c r="E115" s="310"/>
      <c r="F115" s="310"/>
      <c r="G115" s="311"/>
      <c r="H115" s="311"/>
      <c r="I115" s="311"/>
      <c r="J115" s="311"/>
      <c r="K115" s="311"/>
      <c r="L115" s="311"/>
      <c r="M115" s="311"/>
      <c r="N115" s="159"/>
      <c r="O115" s="541"/>
    </row>
    <row r="116" spans="1:15" outlineLevel="1">
      <c r="A116" s="740">
        <f>ROW()</f>
        <v>116</v>
      </c>
      <c r="B116" s="312" t="s">
        <v>1255</v>
      </c>
      <c r="C116" s="313">
        <v>2023</v>
      </c>
      <c r="D116" s="314">
        <v>26000</v>
      </c>
      <c r="E116" s="465"/>
      <c r="F116" s="465"/>
      <c r="G116" s="1068">
        <f t="shared" ref="G116:M124" si="20">IF($C116&lt;=G$10,1,0)</f>
        <v>0</v>
      </c>
      <c r="H116" s="1068">
        <f t="shared" si="20"/>
        <v>1</v>
      </c>
      <c r="I116" s="1068">
        <f t="shared" si="20"/>
        <v>1</v>
      </c>
      <c r="J116" s="1068">
        <f t="shared" si="20"/>
        <v>1</v>
      </c>
      <c r="K116" s="1068">
        <f t="shared" si="20"/>
        <v>1</v>
      </c>
      <c r="L116" s="1068">
        <f t="shared" si="20"/>
        <v>1</v>
      </c>
      <c r="M116" s="1068">
        <f t="shared" si="20"/>
        <v>1</v>
      </c>
      <c r="N116" s="159"/>
      <c r="O116" s="541"/>
    </row>
    <row r="117" spans="1:15" outlineLevel="1">
      <c r="A117" s="740">
        <f>ROW()</f>
        <v>117</v>
      </c>
      <c r="B117" s="246" t="s">
        <v>492</v>
      </c>
      <c r="C117" s="247">
        <v>2023</v>
      </c>
      <c r="D117" s="258">
        <v>53000</v>
      </c>
      <c r="E117" s="465"/>
      <c r="F117" s="465"/>
      <c r="G117" s="1067">
        <f t="shared" si="20"/>
        <v>0</v>
      </c>
      <c r="H117" s="1067">
        <f t="shared" si="20"/>
        <v>1</v>
      </c>
      <c r="I117" s="1067">
        <f t="shared" si="20"/>
        <v>1</v>
      </c>
      <c r="J117" s="1067">
        <f t="shared" si="20"/>
        <v>1</v>
      </c>
      <c r="K117" s="1067">
        <f t="shared" si="20"/>
        <v>1</v>
      </c>
      <c r="L117" s="1067">
        <f t="shared" si="20"/>
        <v>1</v>
      </c>
      <c r="M117" s="1067">
        <f t="shared" si="20"/>
        <v>1</v>
      </c>
      <c r="N117" s="159"/>
      <c r="O117" s="541"/>
    </row>
    <row r="118" spans="1:15" outlineLevel="1">
      <c r="A118" s="740">
        <f>ROW()</f>
        <v>118</v>
      </c>
      <c r="B118" s="246" t="s">
        <v>1305</v>
      </c>
      <c r="C118" s="247">
        <v>2025</v>
      </c>
      <c r="D118" s="258">
        <v>50000</v>
      </c>
      <c r="E118" s="465"/>
      <c r="F118" s="465"/>
      <c r="G118" s="1067">
        <f t="shared" si="20"/>
        <v>0</v>
      </c>
      <c r="H118" s="1067"/>
      <c r="I118" s="1067"/>
      <c r="J118" s="1067">
        <v>1</v>
      </c>
      <c r="K118" s="1067">
        <v>1</v>
      </c>
      <c r="L118" s="1067">
        <v>1</v>
      </c>
      <c r="M118" s="1067">
        <v>1</v>
      </c>
      <c r="N118" s="159"/>
      <c r="O118" s="541"/>
    </row>
    <row r="119" spans="1:15" outlineLevel="1">
      <c r="A119" s="740">
        <f>ROW()</f>
        <v>119</v>
      </c>
      <c r="B119" s="246"/>
      <c r="C119" s="247" t="s">
        <v>472</v>
      </c>
      <c r="D119" s="258">
        <v>0</v>
      </c>
      <c r="E119" s="465"/>
      <c r="F119" s="465"/>
      <c r="G119" s="1067">
        <f t="shared" si="20"/>
        <v>0</v>
      </c>
      <c r="H119" s="1067">
        <f t="shared" si="20"/>
        <v>0</v>
      </c>
      <c r="I119" s="1067">
        <f t="shared" si="20"/>
        <v>0</v>
      </c>
      <c r="J119" s="1067">
        <f t="shared" si="20"/>
        <v>0</v>
      </c>
      <c r="K119" s="1067">
        <f t="shared" si="20"/>
        <v>0</v>
      </c>
      <c r="L119" s="1067">
        <f t="shared" si="20"/>
        <v>0</v>
      </c>
      <c r="M119" s="1067">
        <f t="shared" si="20"/>
        <v>0</v>
      </c>
      <c r="N119" s="159"/>
      <c r="O119" s="541"/>
    </row>
    <row r="120" spans="1:15" outlineLevel="1">
      <c r="A120" s="740">
        <f>ROW()</f>
        <v>120</v>
      </c>
      <c r="B120" s="246"/>
      <c r="C120" s="247" t="s">
        <v>472</v>
      </c>
      <c r="D120" s="258">
        <v>0</v>
      </c>
      <c r="E120" s="465"/>
      <c r="F120" s="465"/>
      <c r="G120" s="1067">
        <f t="shared" si="20"/>
        <v>0</v>
      </c>
      <c r="H120" s="1067">
        <f t="shared" si="20"/>
        <v>0</v>
      </c>
      <c r="I120" s="1067">
        <f t="shared" si="20"/>
        <v>0</v>
      </c>
      <c r="J120" s="1067">
        <f t="shared" si="20"/>
        <v>0</v>
      </c>
      <c r="K120" s="1067">
        <f t="shared" si="20"/>
        <v>0</v>
      </c>
      <c r="L120" s="1067">
        <f t="shared" si="20"/>
        <v>0</v>
      </c>
      <c r="M120" s="1067">
        <f t="shared" si="20"/>
        <v>0</v>
      </c>
      <c r="N120" s="159"/>
      <c r="O120" s="541"/>
    </row>
    <row r="121" spans="1:15" outlineLevel="1">
      <c r="A121" s="740">
        <f>ROW()</f>
        <v>121</v>
      </c>
      <c r="B121" s="246"/>
      <c r="C121" s="247" t="s">
        <v>472</v>
      </c>
      <c r="D121" s="258">
        <v>0</v>
      </c>
      <c r="E121" s="465"/>
      <c r="F121" s="465"/>
      <c r="G121" s="1067">
        <f t="shared" si="20"/>
        <v>0</v>
      </c>
      <c r="H121" s="1067">
        <f t="shared" si="20"/>
        <v>0</v>
      </c>
      <c r="I121" s="1067">
        <f t="shared" si="20"/>
        <v>0</v>
      </c>
      <c r="J121" s="1067">
        <f t="shared" si="20"/>
        <v>0</v>
      </c>
      <c r="K121" s="1067">
        <f t="shared" si="20"/>
        <v>0</v>
      </c>
      <c r="L121" s="1067">
        <f t="shared" si="20"/>
        <v>0</v>
      </c>
      <c r="M121" s="1067">
        <f t="shared" si="20"/>
        <v>0</v>
      </c>
      <c r="N121" s="159"/>
      <c r="O121" s="541"/>
    </row>
    <row r="122" spans="1:15" outlineLevel="1">
      <c r="A122" s="740">
        <f>ROW()</f>
        <v>122</v>
      </c>
      <c r="B122" s="246"/>
      <c r="C122" s="247" t="s">
        <v>472</v>
      </c>
      <c r="D122" s="258">
        <v>0</v>
      </c>
      <c r="E122" s="465"/>
      <c r="F122" s="465"/>
      <c r="G122" s="1067">
        <f t="shared" si="20"/>
        <v>0</v>
      </c>
      <c r="H122" s="1067">
        <f t="shared" si="20"/>
        <v>0</v>
      </c>
      <c r="I122" s="1067">
        <f t="shared" si="20"/>
        <v>0</v>
      </c>
      <c r="J122" s="1067">
        <f t="shared" si="20"/>
        <v>0</v>
      </c>
      <c r="K122" s="1067">
        <f t="shared" si="20"/>
        <v>0</v>
      </c>
      <c r="L122" s="1067">
        <f t="shared" si="20"/>
        <v>0</v>
      </c>
      <c r="M122" s="1067">
        <f t="shared" si="20"/>
        <v>0</v>
      </c>
      <c r="N122" s="159"/>
      <c r="O122" s="541"/>
    </row>
    <row r="123" spans="1:15" outlineLevel="1">
      <c r="A123" s="740">
        <f>ROW()</f>
        <v>123</v>
      </c>
      <c r="B123" s="246"/>
      <c r="C123" s="247" t="s">
        <v>472</v>
      </c>
      <c r="D123" s="258">
        <v>0</v>
      </c>
      <c r="E123" s="465"/>
      <c r="F123" s="465"/>
      <c r="G123" s="1067">
        <f t="shared" si="20"/>
        <v>0</v>
      </c>
      <c r="H123" s="1067">
        <f t="shared" si="20"/>
        <v>0</v>
      </c>
      <c r="I123" s="1067">
        <f t="shared" si="20"/>
        <v>0</v>
      </c>
      <c r="J123" s="1067">
        <f t="shared" si="20"/>
        <v>0</v>
      </c>
      <c r="K123" s="1067">
        <f t="shared" si="20"/>
        <v>0</v>
      </c>
      <c r="L123" s="1067">
        <f t="shared" si="20"/>
        <v>0</v>
      </c>
      <c r="M123" s="1067">
        <f t="shared" si="20"/>
        <v>0</v>
      </c>
      <c r="N123" s="159"/>
      <c r="O123" s="541"/>
    </row>
    <row r="124" spans="1:15" outlineLevel="1">
      <c r="A124" s="740">
        <f>ROW()</f>
        <v>124</v>
      </c>
      <c r="B124" s="246"/>
      <c r="C124" s="247" t="s">
        <v>472</v>
      </c>
      <c r="D124" s="258"/>
      <c r="E124" s="465"/>
      <c r="F124" s="465"/>
      <c r="G124" s="1069">
        <f t="shared" si="20"/>
        <v>0</v>
      </c>
      <c r="H124" s="1069">
        <f t="shared" si="20"/>
        <v>0</v>
      </c>
      <c r="I124" s="1069">
        <f t="shared" si="20"/>
        <v>0</v>
      </c>
      <c r="J124" s="1069">
        <f t="shared" si="20"/>
        <v>0</v>
      </c>
      <c r="K124" s="1069">
        <f t="shared" si="20"/>
        <v>0</v>
      </c>
      <c r="L124" s="1069">
        <f t="shared" si="20"/>
        <v>0</v>
      </c>
      <c r="M124" s="1069">
        <f t="shared" si="20"/>
        <v>0</v>
      </c>
      <c r="N124" s="159"/>
      <c r="O124" s="541"/>
    </row>
    <row r="125" spans="1:15" outlineLevel="1">
      <c r="A125" s="740">
        <f>ROW()</f>
        <v>125</v>
      </c>
      <c r="B125" s="210" t="s">
        <v>493</v>
      </c>
      <c r="C125" s="210"/>
      <c r="D125" s="210"/>
      <c r="E125" s="210"/>
      <c r="F125" s="210"/>
      <c r="G125" s="1837">
        <f t="shared" ref="G125:M125" si="21">SUM(G116:G124)</f>
        <v>0</v>
      </c>
      <c r="H125" s="1837">
        <f t="shared" si="21"/>
        <v>2</v>
      </c>
      <c r="I125" s="544">
        <f t="shared" si="21"/>
        <v>2</v>
      </c>
      <c r="J125" s="544">
        <f t="shared" si="21"/>
        <v>3</v>
      </c>
      <c r="K125" s="544">
        <f t="shared" si="21"/>
        <v>3</v>
      </c>
      <c r="L125" s="544">
        <f t="shared" si="21"/>
        <v>3</v>
      </c>
      <c r="M125" s="544">
        <f t="shared" si="21"/>
        <v>3</v>
      </c>
      <c r="N125" s="159"/>
      <c r="O125" s="541"/>
    </row>
    <row r="126" spans="1:15" outlineLevel="1">
      <c r="A126" s="740">
        <f>ROW()</f>
        <v>126</v>
      </c>
      <c r="B126" s="84"/>
      <c r="C126" s="84"/>
      <c r="D126" s="84"/>
      <c r="E126" s="84"/>
      <c r="F126" s="84"/>
      <c r="G126" s="159"/>
      <c r="H126" s="159"/>
      <c r="I126" s="159"/>
      <c r="J126" s="159"/>
      <c r="K126" s="159"/>
      <c r="L126" s="159"/>
      <c r="M126" s="159"/>
      <c r="N126" s="159"/>
      <c r="O126" s="541"/>
    </row>
    <row r="127" spans="1:15" outlineLevel="1">
      <c r="A127" s="740">
        <f>ROW()</f>
        <v>127</v>
      </c>
      <c r="B127" s="210" t="s">
        <v>494</v>
      </c>
      <c r="C127" s="210"/>
      <c r="D127" s="210"/>
      <c r="E127" s="210"/>
      <c r="F127" s="210"/>
      <c r="G127" s="1837">
        <f t="shared" ref="G127:M127" si="22">+G101+G113+G125</f>
        <v>0</v>
      </c>
      <c r="H127" s="1837">
        <f t="shared" si="22"/>
        <v>5</v>
      </c>
      <c r="I127" s="544">
        <f t="shared" si="22"/>
        <v>6</v>
      </c>
      <c r="J127" s="544">
        <f t="shared" si="22"/>
        <v>8</v>
      </c>
      <c r="K127" s="544">
        <f t="shared" si="22"/>
        <v>9</v>
      </c>
      <c r="L127" s="544">
        <f t="shared" si="22"/>
        <v>9</v>
      </c>
      <c r="M127" s="544">
        <f t="shared" si="22"/>
        <v>9</v>
      </c>
      <c r="N127" s="159"/>
      <c r="O127" s="541"/>
    </row>
    <row r="128" spans="1:15" outlineLevel="1">
      <c r="A128" s="740">
        <f>ROW()</f>
        <v>128</v>
      </c>
      <c r="B128" s="210" t="s">
        <v>495</v>
      </c>
      <c r="C128" s="210"/>
      <c r="D128" s="210"/>
      <c r="E128" s="210"/>
      <c r="F128" s="210"/>
      <c r="G128" s="543">
        <f t="shared" ref="G128:M128" si="23">+G127+G89</f>
        <v>0</v>
      </c>
      <c r="H128" s="543">
        <f t="shared" si="23"/>
        <v>7</v>
      </c>
      <c r="I128" s="544">
        <f t="shared" si="23"/>
        <v>8</v>
      </c>
      <c r="J128" s="544">
        <f t="shared" si="23"/>
        <v>11</v>
      </c>
      <c r="K128" s="544">
        <f t="shared" si="23"/>
        <v>12</v>
      </c>
      <c r="L128" s="544">
        <f t="shared" si="23"/>
        <v>12</v>
      </c>
      <c r="M128" s="544">
        <f t="shared" si="23"/>
        <v>13</v>
      </c>
      <c r="N128" s="159"/>
      <c r="O128" s="541"/>
    </row>
    <row r="129" spans="1:15" outlineLevel="1">
      <c r="A129" s="740">
        <f>ROW()</f>
        <v>129</v>
      </c>
      <c r="B129" s="272"/>
      <c r="C129" s="272"/>
      <c r="D129" s="272"/>
      <c r="E129" s="272"/>
      <c r="F129" s="272"/>
      <c r="G129" s="276"/>
      <c r="H129" s="274"/>
      <c r="I129" s="274"/>
      <c r="J129" s="274"/>
      <c r="K129" s="274"/>
      <c r="L129" s="274"/>
      <c r="M129" s="275"/>
      <c r="N129" s="159"/>
      <c r="O129" s="541"/>
    </row>
    <row r="130" spans="1:15" ht="15.75" outlineLevel="1">
      <c r="A130" s="740">
        <f>ROW()</f>
        <v>130</v>
      </c>
      <c r="B130" s="292" t="s">
        <v>496</v>
      </c>
      <c r="C130" s="111"/>
      <c r="D130" s="111"/>
      <c r="E130" s="111"/>
      <c r="F130" s="111"/>
      <c r="G130" s="282"/>
      <c r="H130" s="189"/>
      <c r="I130" s="189"/>
      <c r="J130" s="189"/>
      <c r="K130" s="189"/>
      <c r="L130" s="189"/>
      <c r="M130" s="293"/>
      <c r="N130" s="159"/>
      <c r="O130" s="541"/>
    </row>
    <row r="131" spans="1:15" ht="30" outlineLevel="1">
      <c r="A131" s="740">
        <f>ROW()</f>
        <v>131</v>
      </c>
      <c r="B131" s="144" t="s">
        <v>497</v>
      </c>
      <c r="C131" s="103" t="s">
        <v>498</v>
      </c>
      <c r="D131" s="103" t="s">
        <v>499</v>
      </c>
      <c r="E131" s="87" t="s">
        <v>463</v>
      </c>
      <c r="F131" s="144" t="s">
        <v>500</v>
      </c>
      <c r="G131" s="144" t="s">
        <v>466</v>
      </c>
      <c r="H131" s="194" t="s">
        <v>465</v>
      </c>
      <c r="I131" s="144"/>
      <c r="J131" s="144"/>
      <c r="K131" s="106"/>
      <c r="L131" s="159"/>
      <c r="M131" s="106"/>
      <c r="N131" s="159"/>
      <c r="O131" s="541"/>
    </row>
    <row r="132" spans="1:15" outlineLevel="1">
      <c r="A132" s="740">
        <f>ROW()</f>
        <v>132</v>
      </c>
      <c r="B132" s="118" t="s">
        <v>464</v>
      </c>
      <c r="C132" s="88"/>
      <c r="D132" s="88">
        <f>' Enrol &amp; Rev'!$H$10</f>
        <v>2022</v>
      </c>
      <c r="E132" s="282"/>
      <c r="F132" s="282"/>
      <c r="G132" s="111"/>
      <c r="H132" s="111"/>
      <c r="I132" s="254"/>
      <c r="J132" s="254"/>
      <c r="K132" s="254"/>
      <c r="L132" s="293"/>
      <c r="M132" s="111"/>
      <c r="N132" s="159"/>
      <c r="O132" s="541"/>
    </row>
    <row r="133" spans="1:15" outlineLevel="1">
      <c r="A133" s="740">
        <f>ROW()</f>
        <v>133</v>
      </c>
      <c r="B133" s="106"/>
      <c r="C133" s="90"/>
      <c r="D133" s="280"/>
      <c r="E133" s="231"/>
      <c r="F133" s="231"/>
      <c r="G133" s="84" t="s">
        <v>501</v>
      </c>
      <c r="H133" s="106"/>
      <c r="K133" s="84"/>
      <c r="L133" s="159"/>
      <c r="M133" s="106"/>
      <c r="N133" s="159"/>
      <c r="O133" s="541"/>
    </row>
    <row r="134" spans="1:15" outlineLevel="1">
      <c r="A134" s="740">
        <f>ROW()</f>
        <v>134</v>
      </c>
      <c r="B134" s="315" t="s">
        <v>502</v>
      </c>
      <c r="C134" s="252" t="s">
        <v>472</v>
      </c>
      <c r="D134" s="252" t="s">
        <v>503</v>
      </c>
      <c r="E134" s="514">
        <v>0</v>
      </c>
      <c r="F134" s="316" t="s">
        <v>504</v>
      </c>
      <c r="G134" s="1067">
        <f>IF($D134&lt;=G$10,1,0)</f>
        <v>0</v>
      </c>
      <c r="H134" s="1067">
        <f t="shared" ref="H134:M136" si="24">IF($D134&lt;=H$10,1,0)</f>
        <v>0</v>
      </c>
      <c r="I134" s="1067">
        <f t="shared" si="24"/>
        <v>0</v>
      </c>
      <c r="J134" s="1067">
        <f t="shared" si="24"/>
        <v>0</v>
      </c>
      <c r="K134" s="1067">
        <f t="shared" si="24"/>
        <v>0</v>
      </c>
      <c r="L134" s="1067">
        <f t="shared" si="24"/>
        <v>0</v>
      </c>
      <c r="M134" s="1067">
        <f t="shared" si="24"/>
        <v>0</v>
      </c>
      <c r="N134" s="106"/>
      <c r="O134" s="541"/>
    </row>
    <row r="135" spans="1:15" outlineLevel="1">
      <c r="A135" s="740">
        <f>ROW()</f>
        <v>135</v>
      </c>
      <c r="B135" s="315" t="s">
        <v>502</v>
      </c>
      <c r="C135" s="252" t="s">
        <v>472</v>
      </c>
      <c r="D135" s="252" t="s">
        <v>503</v>
      </c>
      <c r="E135" s="256">
        <v>0</v>
      </c>
      <c r="F135" s="316" t="s">
        <v>504</v>
      </c>
      <c r="G135" s="1067">
        <f>IF($D135&lt;=G$10,1,0)</f>
        <v>0</v>
      </c>
      <c r="H135" s="1067">
        <f t="shared" si="24"/>
        <v>0</v>
      </c>
      <c r="I135" s="1067">
        <f t="shared" si="24"/>
        <v>0</v>
      </c>
      <c r="J135" s="1067">
        <f t="shared" si="24"/>
        <v>0</v>
      </c>
      <c r="K135" s="1067">
        <f t="shared" si="24"/>
        <v>0</v>
      </c>
      <c r="L135" s="1067">
        <f t="shared" si="24"/>
        <v>0</v>
      </c>
      <c r="M135" s="1067">
        <f t="shared" si="24"/>
        <v>0</v>
      </c>
      <c r="N135" s="106"/>
      <c r="O135" s="541"/>
    </row>
    <row r="136" spans="1:15" outlineLevel="1">
      <c r="A136" s="740">
        <f>ROW()</f>
        <v>136</v>
      </c>
      <c r="B136" s="315" t="s">
        <v>502</v>
      </c>
      <c r="C136" s="252" t="s">
        <v>472</v>
      </c>
      <c r="D136" s="252" t="s">
        <v>503</v>
      </c>
      <c r="E136" s="256">
        <v>0</v>
      </c>
      <c r="F136" s="316" t="s">
        <v>504</v>
      </c>
      <c r="G136" s="1067">
        <f>IF($D136&lt;=G$10,1,0)</f>
        <v>0</v>
      </c>
      <c r="H136" s="1067">
        <f t="shared" si="24"/>
        <v>0</v>
      </c>
      <c r="I136" s="1067">
        <f t="shared" si="24"/>
        <v>0</v>
      </c>
      <c r="J136" s="1067">
        <f t="shared" si="24"/>
        <v>0</v>
      </c>
      <c r="K136" s="1067">
        <f t="shared" si="24"/>
        <v>0</v>
      </c>
      <c r="L136" s="1067">
        <f t="shared" si="24"/>
        <v>0</v>
      </c>
      <c r="M136" s="1067">
        <f t="shared" si="24"/>
        <v>0</v>
      </c>
      <c r="N136" s="106"/>
      <c r="O136" s="541"/>
    </row>
    <row r="137" spans="1:15" outlineLevel="1">
      <c r="A137" s="740">
        <f>ROW()</f>
        <v>137</v>
      </c>
      <c r="B137" s="237"/>
      <c r="C137" s="243"/>
      <c r="D137" s="243"/>
      <c r="E137" s="511"/>
      <c r="F137" s="242"/>
      <c r="G137" s="419"/>
      <c r="H137" s="419"/>
      <c r="I137" s="419"/>
      <c r="J137" s="419"/>
      <c r="K137" s="419"/>
      <c r="L137" s="419"/>
      <c r="M137" s="419"/>
      <c r="N137" s="106"/>
      <c r="O137" s="541"/>
    </row>
    <row r="138" spans="1:15" outlineLevel="1">
      <c r="A138" s="740">
        <f>ROW()</f>
        <v>138</v>
      </c>
      <c r="B138" s="315" t="s">
        <v>505</v>
      </c>
      <c r="C138" s="252" t="s">
        <v>1256</v>
      </c>
      <c r="D138" s="252" t="s">
        <v>503</v>
      </c>
      <c r="E138" s="514">
        <v>50000</v>
      </c>
      <c r="F138" s="316" t="s">
        <v>504</v>
      </c>
      <c r="G138" s="1067">
        <f t="shared" ref="G138:M142" si="25">IF($D138&lt;=G$10,1,0)</f>
        <v>0</v>
      </c>
      <c r="H138" s="1067">
        <v>3</v>
      </c>
      <c r="I138" s="1067">
        <v>3</v>
      </c>
      <c r="J138" s="1067">
        <v>3</v>
      </c>
      <c r="K138" s="1067">
        <v>3</v>
      </c>
      <c r="L138" s="1067">
        <v>3</v>
      </c>
      <c r="M138" s="1067">
        <v>3</v>
      </c>
      <c r="N138" s="106"/>
      <c r="O138" s="541"/>
    </row>
    <row r="139" spans="1:15" outlineLevel="1">
      <c r="A139" s="740">
        <f>ROW()</f>
        <v>139</v>
      </c>
      <c r="B139" s="315" t="s">
        <v>505</v>
      </c>
      <c r="C139" s="252" t="s">
        <v>472</v>
      </c>
      <c r="D139" s="252" t="s">
        <v>503</v>
      </c>
      <c r="E139" s="256">
        <v>0</v>
      </c>
      <c r="F139" s="316" t="s">
        <v>504</v>
      </c>
      <c r="G139" s="1067">
        <f t="shared" si="25"/>
        <v>0</v>
      </c>
      <c r="H139" s="1067">
        <f t="shared" si="25"/>
        <v>0</v>
      </c>
      <c r="I139" s="1067">
        <f t="shared" si="25"/>
        <v>0</v>
      </c>
      <c r="J139" s="1067">
        <f t="shared" si="25"/>
        <v>0</v>
      </c>
      <c r="K139" s="1067">
        <f t="shared" si="25"/>
        <v>0</v>
      </c>
      <c r="L139" s="1067">
        <f t="shared" si="25"/>
        <v>0</v>
      </c>
      <c r="M139" s="1067">
        <f t="shared" si="25"/>
        <v>0</v>
      </c>
      <c r="N139" s="106"/>
      <c r="O139" s="541"/>
    </row>
    <row r="140" spans="1:15" outlineLevel="1">
      <c r="A140" s="740">
        <f>ROW()</f>
        <v>140</v>
      </c>
      <c r="B140" s="315" t="s">
        <v>505</v>
      </c>
      <c r="C140" s="252" t="s">
        <v>472</v>
      </c>
      <c r="D140" s="252" t="s">
        <v>503</v>
      </c>
      <c r="E140" s="256">
        <v>0</v>
      </c>
      <c r="F140" s="316" t="s">
        <v>504</v>
      </c>
      <c r="G140" s="1067">
        <f t="shared" si="25"/>
        <v>0</v>
      </c>
      <c r="H140" s="1067">
        <f t="shared" si="25"/>
        <v>0</v>
      </c>
      <c r="I140" s="1067">
        <f t="shared" si="25"/>
        <v>0</v>
      </c>
      <c r="J140" s="1067">
        <f t="shared" si="25"/>
        <v>0</v>
      </c>
      <c r="K140" s="1067">
        <f t="shared" si="25"/>
        <v>0</v>
      </c>
      <c r="L140" s="1067">
        <f t="shared" si="25"/>
        <v>0</v>
      </c>
      <c r="M140" s="1067">
        <f t="shared" si="25"/>
        <v>0</v>
      </c>
      <c r="N140" s="106"/>
      <c r="O140" s="541"/>
    </row>
    <row r="141" spans="1:15" outlineLevel="1">
      <c r="A141" s="740">
        <f>ROW()</f>
        <v>141</v>
      </c>
      <c r="B141" s="315" t="s">
        <v>505</v>
      </c>
      <c r="C141" s="252" t="s">
        <v>472</v>
      </c>
      <c r="D141" s="252" t="s">
        <v>503</v>
      </c>
      <c r="E141" s="256">
        <v>0</v>
      </c>
      <c r="F141" s="316" t="s">
        <v>504</v>
      </c>
      <c r="G141" s="1067">
        <f t="shared" si="25"/>
        <v>0</v>
      </c>
      <c r="H141" s="1067">
        <f t="shared" si="25"/>
        <v>0</v>
      </c>
      <c r="I141" s="1067">
        <f t="shared" si="25"/>
        <v>0</v>
      </c>
      <c r="J141" s="1067">
        <f t="shared" si="25"/>
        <v>0</v>
      </c>
      <c r="K141" s="1067">
        <f t="shared" si="25"/>
        <v>0</v>
      </c>
      <c r="L141" s="1067">
        <f t="shared" si="25"/>
        <v>0</v>
      </c>
      <c r="M141" s="1067">
        <f t="shared" si="25"/>
        <v>0</v>
      </c>
      <c r="N141" s="106"/>
      <c r="O141" s="541"/>
    </row>
    <row r="142" spans="1:15" outlineLevel="1">
      <c r="A142" s="740">
        <f>ROW()</f>
        <v>142</v>
      </c>
      <c r="B142" s="315"/>
      <c r="C142" s="252" t="s">
        <v>472</v>
      </c>
      <c r="D142" s="252" t="s">
        <v>503</v>
      </c>
      <c r="E142" s="256">
        <v>0</v>
      </c>
      <c r="F142" s="316"/>
      <c r="G142" s="1067">
        <f t="shared" si="25"/>
        <v>0</v>
      </c>
      <c r="H142" s="1067">
        <f t="shared" si="25"/>
        <v>0</v>
      </c>
      <c r="I142" s="1067">
        <f t="shared" si="25"/>
        <v>0</v>
      </c>
      <c r="J142" s="1067">
        <f t="shared" si="25"/>
        <v>0</v>
      </c>
      <c r="K142" s="1067">
        <f t="shared" si="25"/>
        <v>0</v>
      </c>
      <c r="L142" s="1067">
        <f t="shared" si="25"/>
        <v>0</v>
      </c>
      <c r="M142" s="1067">
        <f t="shared" si="25"/>
        <v>0</v>
      </c>
      <c r="O142" s="541"/>
    </row>
    <row r="143" spans="1:15" outlineLevel="1">
      <c r="A143" s="740">
        <f>ROW()</f>
        <v>143</v>
      </c>
      <c r="B143" s="237"/>
      <c r="C143" s="243"/>
      <c r="D143" s="281"/>
      <c r="E143" s="245"/>
      <c r="F143" s="245"/>
      <c r="G143" s="419"/>
      <c r="H143" s="419"/>
      <c r="I143" s="419"/>
      <c r="J143" s="419"/>
      <c r="K143" s="419"/>
      <c r="L143" s="419"/>
      <c r="M143" s="419"/>
      <c r="O143" s="541"/>
    </row>
    <row r="144" spans="1:15" outlineLevel="1">
      <c r="A144" s="740">
        <f>ROW()</f>
        <v>144</v>
      </c>
      <c r="B144" s="315" t="s">
        <v>506</v>
      </c>
      <c r="C144" s="252" t="s">
        <v>1257</v>
      </c>
      <c r="D144" s="252" t="s">
        <v>503</v>
      </c>
      <c r="E144" s="514">
        <v>50000</v>
      </c>
      <c r="F144" s="316" t="s">
        <v>504</v>
      </c>
      <c r="G144" s="1067">
        <f t="shared" ref="G144:M148" si="26">IF($D144&lt;=G$10,1,0)</f>
        <v>0</v>
      </c>
      <c r="H144" s="1067">
        <v>3</v>
      </c>
      <c r="I144" s="1067">
        <v>3</v>
      </c>
      <c r="J144" s="1067">
        <v>3</v>
      </c>
      <c r="K144" s="1067">
        <v>3</v>
      </c>
      <c r="L144" s="1067">
        <v>3</v>
      </c>
      <c r="M144" s="1067">
        <v>3</v>
      </c>
      <c r="N144" s="106"/>
      <c r="O144" s="541"/>
    </row>
    <row r="145" spans="1:15" outlineLevel="1">
      <c r="A145" s="740">
        <f>ROW()</f>
        <v>145</v>
      </c>
      <c r="B145" s="315" t="s">
        <v>506</v>
      </c>
      <c r="C145" s="252" t="s">
        <v>472</v>
      </c>
      <c r="D145" s="252" t="s">
        <v>503</v>
      </c>
      <c r="E145" s="256">
        <v>0</v>
      </c>
      <c r="F145" s="316" t="s">
        <v>504</v>
      </c>
      <c r="G145" s="1067">
        <f t="shared" si="26"/>
        <v>0</v>
      </c>
      <c r="H145" s="1067">
        <f t="shared" si="26"/>
        <v>0</v>
      </c>
      <c r="I145" s="1067">
        <f t="shared" si="26"/>
        <v>0</v>
      </c>
      <c r="J145" s="1067">
        <f t="shared" si="26"/>
        <v>0</v>
      </c>
      <c r="K145" s="1067">
        <f t="shared" si="26"/>
        <v>0</v>
      </c>
      <c r="L145" s="1067">
        <f t="shared" si="26"/>
        <v>0</v>
      </c>
      <c r="M145" s="1067">
        <f t="shared" si="26"/>
        <v>0</v>
      </c>
      <c r="N145" s="106"/>
      <c r="O145" s="541"/>
    </row>
    <row r="146" spans="1:15" outlineLevel="1">
      <c r="A146" s="740">
        <f>ROW()</f>
        <v>146</v>
      </c>
      <c r="B146" s="315" t="s">
        <v>506</v>
      </c>
      <c r="C146" s="252" t="s">
        <v>472</v>
      </c>
      <c r="D146" s="252" t="s">
        <v>503</v>
      </c>
      <c r="E146" s="256">
        <v>0</v>
      </c>
      <c r="F146" s="316" t="s">
        <v>504</v>
      </c>
      <c r="G146" s="1067">
        <f t="shared" si="26"/>
        <v>0</v>
      </c>
      <c r="H146" s="1067">
        <f t="shared" si="26"/>
        <v>0</v>
      </c>
      <c r="I146" s="1067">
        <f t="shared" si="26"/>
        <v>0</v>
      </c>
      <c r="J146" s="1067">
        <f t="shared" si="26"/>
        <v>0</v>
      </c>
      <c r="K146" s="1067">
        <f t="shared" si="26"/>
        <v>0</v>
      </c>
      <c r="L146" s="1067">
        <f t="shared" si="26"/>
        <v>0</v>
      </c>
      <c r="M146" s="1067">
        <f t="shared" si="26"/>
        <v>0</v>
      </c>
      <c r="N146" s="106"/>
      <c r="O146" s="541"/>
    </row>
    <row r="147" spans="1:15" outlineLevel="1">
      <c r="A147" s="740">
        <f>ROW()</f>
        <v>147</v>
      </c>
      <c r="B147" s="315" t="s">
        <v>506</v>
      </c>
      <c r="C147" s="252" t="s">
        <v>472</v>
      </c>
      <c r="D147" s="252" t="s">
        <v>503</v>
      </c>
      <c r="E147" s="256">
        <v>0</v>
      </c>
      <c r="F147" s="316" t="s">
        <v>504</v>
      </c>
      <c r="G147" s="1067">
        <f t="shared" si="26"/>
        <v>0</v>
      </c>
      <c r="H147" s="1067">
        <f t="shared" si="26"/>
        <v>0</v>
      </c>
      <c r="I147" s="1067">
        <f t="shared" si="26"/>
        <v>0</v>
      </c>
      <c r="J147" s="1067">
        <f t="shared" si="26"/>
        <v>0</v>
      </c>
      <c r="K147" s="1067">
        <f t="shared" si="26"/>
        <v>0</v>
      </c>
      <c r="L147" s="1067">
        <f t="shared" si="26"/>
        <v>0</v>
      </c>
      <c r="M147" s="1067">
        <f t="shared" si="26"/>
        <v>0</v>
      </c>
      <c r="N147" s="106"/>
      <c r="O147" s="541"/>
    </row>
    <row r="148" spans="1:15" outlineLevel="1">
      <c r="A148" s="740">
        <f>ROW()</f>
        <v>148</v>
      </c>
      <c r="B148" s="315"/>
      <c r="C148" s="252" t="s">
        <v>472</v>
      </c>
      <c r="D148" s="252" t="s">
        <v>503</v>
      </c>
      <c r="E148" s="256">
        <v>0</v>
      </c>
      <c r="F148" s="316"/>
      <c r="G148" s="1067">
        <f t="shared" si="26"/>
        <v>0</v>
      </c>
      <c r="H148" s="1067">
        <f t="shared" si="26"/>
        <v>0</v>
      </c>
      <c r="I148" s="1067">
        <f t="shared" si="26"/>
        <v>0</v>
      </c>
      <c r="J148" s="1067">
        <f t="shared" si="26"/>
        <v>0</v>
      </c>
      <c r="K148" s="1067">
        <f t="shared" si="26"/>
        <v>0</v>
      </c>
      <c r="L148" s="1067">
        <f t="shared" si="26"/>
        <v>0</v>
      </c>
      <c r="M148" s="1067">
        <f t="shared" si="26"/>
        <v>0</v>
      </c>
      <c r="N148" s="106"/>
      <c r="O148" s="541"/>
    </row>
    <row r="149" spans="1:15" outlineLevel="1">
      <c r="A149" s="740">
        <f>ROW()</f>
        <v>149</v>
      </c>
      <c r="B149" s="237"/>
      <c r="C149" s="243"/>
      <c r="D149" s="242"/>
      <c r="E149" s="245"/>
      <c r="F149" s="245"/>
      <c r="G149" s="419"/>
      <c r="H149" s="419"/>
      <c r="I149" s="419"/>
      <c r="J149" s="419"/>
      <c r="K149" s="419"/>
      <c r="L149" s="419"/>
      <c r="M149" s="419"/>
      <c r="N149" s="106"/>
      <c r="O149" s="541"/>
    </row>
    <row r="150" spans="1:15" outlineLevel="1">
      <c r="A150" s="740">
        <f>ROW()</f>
        <v>150</v>
      </c>
      <c r="B150" s="315" t="s">
        <v>507</v>
      </c>
      <c r="C150" s="252" t="s">
        <v>1258</v>
      </c>
      <c r="D150" s="252" t="s">
        <v>503</v>
      </c>
      <c r="E150" s="514">
        <v>50000</v>
      </c>
      <c r="F150" s="316" t="s">
        <v>504</v>
      </c>
      <c r="G150" s="1067"/>
      <c r="H150" s="1067">
        <v>3</v>
      </c>
      <c r="I150" s="1067">
        <v>3</v>
      </c>
      <c r="J150" s="1067">
        <v>3</v>
      </c>
      <c r="K150" s="1067">
        <v>3</v>
      </c>
      <c r="L150" s="1067">
        <v>3</v>
      </c>
      <c r="M150" s="1067">
        <v>3</v>
      </c>
      <c r="N150" s="106"/>
      <c r="O150" s="541"/>
    </row>
    <row r="151" spans="1:15" outlineLevel="1">
      <c r="A151" s="740">
        <f>ROW()</f>
        <v>151</v>
      </c>
      <c r="B151" s="315" t="s">
        <v>507</v>
      </c>
      <c r="C151" s="252" t="s">
        <v>472</v>
      </c>
      <c r="D151" s="252" t="s">
        <v>503</v>
      </c>
      <c r="E151" s="256">
        <v>0</v>
      </c>
      <c r="F151" s="316" t="s">
        <v>504</v>
      </c>
      <c r="G151" s="1067">
        <f t="shared" ref="G151:M154" si="27">IF($D151&lt;=G$10,1,0)</f>
        <v>0</v>
      </c>
      <c r="H151" s="1067">
        <f t="shared" si="27"/>
        <v>0</v>
      </c>
      <c r="I151" s="1067">
        <f t="shared" si="27"/>
        <v>0</v>
      </c>
      <c r="J151" s="1067">
        <f t="shared" si="27"/>
        <v>0</v>
      </c>
      <c r="K151" s="1067">
        <f t="shared" si="27"/>
        <v>0</v>
      </c>
      <c r="L151" s="1067">
        <f t="shared" si="27"/>
        <v>0</v>
      </c>
      <c r="M151" s="1067">
        <f t="shared" si="27"/>
        <v>0</v>
      </c>
      <c r="N151" s="106"/>
      <c r="O151" s="541"/>
    </row>
    <row r="152" spans="1:15" outlineLevel="1">
      <c r="A152" s="740">
        <f>ROW()</f>
        <v>152</v>
      </c>
      <c r="B152" s="315" t="s">
        <v>507</v>
      </c>
      <c r="C152" s="252" t="s">
        <v>472</v>
      </c>
      <c r="D152" s="252" t="s">
        <v>503</v>
      </c>
      <c r="E152" s="256">
        <v>0</v>
      </c>
      <c r="F152" s="316" t="s">
        <v>504</v>
      </c>
      <c r="G152" s="1067">
        <f t="shared" si="27"/>
        <v>0</v>
      </c>
      <c r="H152" s="1067">
        <f t="shared" si="27"/>
        <v>0</v>
      </c>
      <c r="I152" s="1067">
        <f t="shared" si="27"/>
        <v>0</v>
      </c>
      <c r="J152" s="1067">
        <f t="shared" si="27"/>
        <v>0</v>
      </c>
      <c r="K152" s="1067">
        <f t="shared" si="27"/>
        <v>0</v>
      </c>
      <c r="L152" s="1067">
        <f t="shared" si="27"/>
        <v>0</v>
      </c>
      <c r="M152" s="1067">
        <f t="shared" si="27"/>
        <v>0</v>
      </c>
      <c r="N152" s="106"/>
      <c r="O152" s="541"/>
    </row>
    <row r="153" spans="1:15" outlineLevel="1">
      <c r="A153" s="740">
        <f>ROW()</f>
        <v>153</v>
      </c>
      <c r="B153" s="315" t="s">
        <v>507</v>
      </c>
      <c r="C153" s="252" t="s">
        <v>472</v>
      </c>
      <c r="D153" s="252" t="s">
        <v>503</v>
      </c>
      <c r="E153" s="256">
        <v>0</v>
      </c>
      <c r="F153" s="316" t="s">
        <v>504</v>
      </c>
      <c r="G153" s="1067">
        <f t="shared" si="27"/>
        <v>0</v>
      </c>
      <c r="H153" s="1067">
        <f t="shared" si="27"/>
        <v>0</v>
      </c>
      <c r="I153" s="1067">
        <f t="shared" si="27"/>
        <v>0</v>
      </c>
      <c r="J153" s="1067">
        <f t="shared" si="27"/>
        <v>0</v>
      </c>
      <c r="K153" s="1067">
        <f t="shared" si="27"/>
        <v>0</v>
      </c>
      <c r="L153" s="1067">
        <f t="shared" si="27"/>
        <v>0</v>
      </c>
      <c r="M153" s="1067">
        <f t="shared" si="27"/>
        <v>0</v>
      </c>
      <c r="N153" s="106"/>
      <c r="O153" s="541"/>
    </row>
    <row r="154" spans="1:15" outlineLevel="1">
      <c r="A154" s="740">
        <f>ROW()</f>
        <v>154</v>
      </c>
      <c r="B154" s="315"/>
      <c r="C154" s="252" t="s">
        <v>472</v>
      </c>
      <c r="D154" s="252" t="s">
        <v>503</v>
      </c>
      <c r="E154" s="256">
        <v>0</v>
      </c>
      <c r="F154" s="316"/>
      <c r="G154" s="1067">
        <f t="shared" si="27"/>
        <v>0</v>
      </c>
      <c r="H154" s="1067">
        <f t="shared" si="27"/>
        <v>0</v>
      </c>
      <c r="I154" s="1067">
        <f t="shared" si="27"/>
        <v>0</v>
      </c>
      <c r="J154" s="1067">
        <f t="shared" si="27"/>
        <v>0</v>
      </c>
      <c r="K154" s="1067">
        <f t="shared" si="27"/>
        <v>0</v>
      </c>
      <c r="L154" s="1067">
        <f t="shared" si="27"/>
        <v>0</v>
      </c>
      <c r="M154" s="1067">
        <f t="shared" si="27"/>
        <v>0</v>
      </c>
      <c r="O154" s="541"/>
    </row>
    <row r="155" spans="1:15" outlineLevel="1">
      <c r="A155" s="740">
        <f>ROW()</f>
        <v>155</v>
      </c>
      <c r="B155" s="237"/>
      <c r="C155" s="243"/>
      <c r="D155" s="243"/>
      <c r="E155" s="244"/>
      <c r="F155" s="244"/>
      <c r="G155" s="419"/>
      <c r="H155" s="419"/>
      <c r="I155" s="419"/>
      <c r="J155" s="419"/>
      <c r="K155" s="419"/>
      <c r="L155" s="419"/>
      <c r="M155" s="419"/>
      <c r="N155" s="106"/>
      <c r="O155" s="541"/>
    </row>
    <row r="156" spans="1:15" outlineLevel="1">
      <c r="A156" s="740">
        <f>ROW()</f>
        <v>156</v>
      </c>
      <c r="B156" s="315" t="s">
        <v>508</v>
      </c>
      <c r="C156" s="252" t="s">
        <v>1259</v>
      </c>
      <c r="D156" s="252" t="s">
        <v>503</v>
      </c>
      <c r="E156" s="514">
        <v>50000</v>
      </c>
      <c r="F156" s="316" t="s">
        <v>504</v>
      </c>
      <c r="G156" s="1067">
        <f t="shared" ref="G156:M160" si="28">IF($D156&lt;=G$10,1,0)</f>
        <v>0</v>
      </c>
      <c r="H156" s="1067"/>
      <c r="I156" s="1067">
        <v>3</v>
      </c>
      <c r="J156" s="1067">
        <v>3</v>
      </c>
      <c r="K156" s="1067">
        <v>3</v>
      </c>
      <c r="L156" s="1067">
        <v>3</v>
      </c>
      <c r="M156" s="1067">
        <v>3</v>
      </c>
      <c r="N156" s="106"/>
      <c r="O156" s="541"/>
    </row>
    <row r="157" spans="1:15" outlineLevel="1">
      <c r="A157" s="740">
        <f>ROW()</f>
        <v>157</v>
      </c>
      <c r="B157" s="315" t="s">
        <v>508</v>
      </c>
      <c r="C157" s="252" t="s">
        <v>472</v>
      </c>
      <c r="D157" s="252" t="s">
        <v>503</v>
      </c>
      <c r="E157" s="256">
        <v>0</v>
      </c>
      <c r="F157" s="316" t="s">
        <v>504</v>
      </c>
      <c r="G157" s="1067">
        <f t="shared" si="28"/>
        <v>0</v>
      </c>
      <c r="H157" s="1067">
        <f t="shared" si="28"/>
        <v>0</v>
      </c>
      <c r="I157" s="1067">
        <f t="shared" si="28"/>
        <v>0</v>
      </c>
      <c r="J157" s="1067">
        <f t="shared" si="28"/>
        <v>0</v>
      </c>
      <c r="K157" s="1067">
        <f t="shared" si="28"/>
        <v>0</v>
      </c>
      <c r="L157" s="1067">
        <f t="shared" si="28"/>
        <v>0</v>
      </c>
      <c r="M157" s="1067">
        <f t="shared" si="28"/>
        <v>0</v>
      </c>
      <c r="N157" s="106"/>
      <c r="O157" s="541"/>
    </row>
    <row r="158" spans="1:15" outlineLevel="1">
      <c r="A158" s="740">
        <f>ROW()</f>
        <v>158</v>
      </c>
      <c r="B158" s="315" t="s">
        <v>508</v>
      </c>
      <c r="C158" s="252" t="s">
        <v>472</v>
      </c>
      <c r="D158" s="252" t="s">
        <v>503</v>
      </c>
      <c r="E158" s="256">
        <v>0</v>
      </c>
      <c r="F158" s="316" t="s">
        <v>504</v>
      </c>
      <c r="G158" s="1067">
        <f t="shared" si="28"/>
        <v>0</v>
      </c>
      <c r="H158" s="1067">
        <f t="shared" si="28"/>
        <v>0</v>
      </c>
      <c r="I158" s="1067">
        <f t="shared" si="28"/>
        <v>0</v>
      </c>
      <c r="J158" s="1067">
        <f t="shared" si="28"/>
        <v>0</v>
      </c>
      <c r="K158" s="1067">
        <f t="shared" si="28"/>
        <v>0</v>
      </c>
      <c r="L158" s="1067">
        <f t="shared" si="28"/>
        <v>0</v>
      </c>
      <c r="M158" s="1067">
        <f t="shared" si="28"/>
        <v>0</v>
      </c>
      <c r="N158" s="106"/>
      <c r="O158" s="541"/>
    </row>
    <row r="159" spans="1:15" outlineLevel="1">
      <c r="A159" s="740">
        <f>ROW()</f>
        <v>159</v>
      </c>
      <c r="B159" s="315" t="s">
        <v>508</v>
      </c>
      <c r="C159" s="252" t="s">
        <v>472</v>
      </c>
      <c r="D159" s="252" t="s">
        <v>503</v>
      </c>
      <c r="E159" s="256">
        <v>0</v>
      </c>
      <c r="F159" s="316" t="s">
        <v>504</v>
      </c>
      <c r="G159" s="1067">
        <f t="shared" si="28"/>
        <v>0</v>
      </c>
      <c r="H159" s="1067">
        <f t="shared" si="28"/>
        <v>0</v>
      </c>
      <c r="I159" s="1067">
        <f t="shared" si="28"/>
        <v>0</v>
      </c>
      <c r="J159" s="1067">
        <f t="shared" si="28"/>
        <v>0</v>
      </c>
      <c r="K159" s="1067">
        <f t="shared" si="28"/>
        <v>0</v>
      </c>
      <c r="L159" s="1067">
        <f t="shared" si="28"/>
        <v>0</v>
      </c>
      <c r="M159" s="1067">
        <f t="shared" si="28"/>
        <v>0</v>
      </c>
      <c r="N159" s="106"/>
      <c r="O159" s="541"/>
    </row>
    <row r="160" spans="1:15" outlineLevel="1">
      <c r="A160" s="740">
        <f>ROW()</f>
        <v>160</v>
      </c>
      <c r="B160" s="315"/>
      <c r="C160" s="252" t="s">
        <v>472</v>
      </c>
      <c r="D160" s="252" t="s">
        <v>503</v>
      </c>
      <c r="E160" s="256">
        <v>0</v>
      </c>
      <c r="F160" s="316"/>
      <c r="G160" s="1067">
        <f t="shared" si="28"/>
        <v>0</v>
      </c>
      <c r="H160" s="1067">
        <f t="shared" si="28"/>
        <v>0</v>
      </c>
      <c r="I160" s="1067">
        <f t="shared" si="28"/>
        <v>0</v>
      </c>
      <c r="J160" s="1067">
        <f t="shared" si="28"/>
        <v>0</v>
      </c>
      <c r="K160" s="1067">
        <f t="shared" si="28"/>
        <v>0</v>
      </c>
      <c r="L160" s="1067">
        <f t="shared" si="28"/>
        <v>0</v>
      </c>
      <c r="M160" s="1067">
        <f t="shared" si="28"/>
        <v>0</v>
      </c>
      <c r="N160" s="106"/>
      <c r="O160" s="541"/>
    </row>
    <row r="161" spans="1:15" outlineLevel="1">
      <c r="A161" s="740">
        <f>ROW()</f>
        <v>161</v>
      </c>
      <c r="B161" s="237"/>
      <c r="C161" s="243"/>
      <c r="D161" s="242"/>
      <c r="E161" s="245"/>
      <c r="F161" s="244"/>
      <c r="G161" s="419"/>
      <c r="H161" s="419"/>
      <c r="I161" s="419"/>
      <c r="J161" s="419"/>
      <c r="K161" s="419"/>
      <c r="L161" s="419"/>
      <c r="M161" s="419"/>
      <c r="N161" s="106"/>
      <c r="O161" s="541"/>
    </row>
    <row r="162" spans="1:15" outlineLevel="1">
      <c r="A162" s="740">
        <f>ROW()</f>
        <v>162</v>
      </c>
      <c r="B162" s="315" t="s">
        <v>509</v>
      </c>
      <c r="C162" s="252" t="s">
        <v>1260</v>
      </c>
      <c r="D162" s="252" t="s">
        <v>503</v>
      </c>
      <c r="E162" s="514">
        <v>50000</v>
      </c>
      <c r="F162" s="316" t="s">
        <v>504</v>
      </c>
      <c r="G162" s="1067">
        <f t="shared" ref="G162:M166" si="29">IF($D162&lt;=G$10,1,0)</f>
        <v>0</v>
      </c>
      <c r="H162" s="1067">
        <f t="shared" si="29"/>
        <v>0</v>
      </c>
      <c r="I162" s="1067">
        <f t="shared" si="29"/>
        <v>0</v>
      </c>
      <c r="J162" s="1067">
        <v>3</v>
      </c>
      <c r="K162" s="1067">
        <v>3</v>
      </c>
      <c r="L162" s="1067">
        <v>3</v>
      </c>
      <c r="M162" s="1067">
        <v>3</v>
      </c>
      <c r="N162" s="106"/>
      <c r="O162" s="541"/>
    </row>
    <row r="163" spans="1:15" outlineLevel="1">
      <c r="A163" s="740">
        <f>ROW()</f>
        <v>163</v>
      </c>
      <c r="B163" s="315" t="s">
        <v>509</v>
      </c>
      <c r="C163" s="252" t="s">
        <v>472</v>
      </c>
      <c r="D163" s="252" t="s">
        <v>503</v>
      </c>
      <c r="E163" s="256">
        <v>0</v>
      </c>
      <c r="F163" s="316" t="s">
        <v>504</v>
      </c>
      <c r="G163" s="1067">
        <f t="shared" si="29"/>
        <v>0</v>
      </c>
      <c r="H163" s="1067">
        <f t="shared" si="29"/>
        <v>0</v>
      </c>
      <c r="I163" s="1067">
        <f t="shared" si="29"/>
        <v>0</v>
      </c>
      <c r="J163" s="1067">
        <f t="shared" si="29"/>
        <v>0</v>
      </c>
      <c r="K163" s="1067">
        <f t="shared" si="29"/>
        <v>0</v>
      </c>
      <c r="L163" s="1067">
        <f t="shared" si="29"/>
        <v>0</v>
      </c>
      <c r="M163" s="1067">
        <f t="shared" si="29"/>
        <v>0</v>
      </c>
      <c r="N163" s="106"/>
      <c r="O163" s="541"/>
    </row>
    <row r="164" spans="1:15" outlineLevel="1">
      <c r="A164" s="740">
        <f>ROW()</f>
        <v>164</v>
      </c>
      <c r="B164" s="315" t="s">
        <v>509</v>
      </c>
      <c r="C164" s="252" t="s">
        <v>472</v>
      </c>
      <c r="D164" s="252" t="s">
        <v>503</v>
      </c>
      <c r="E164" s="256">
        <v>0</v>
      </c>
      <c r="F164" s="316" t="s">
        <v>504</v>
      </c>
      <c r="G164" s="1067">
        <f t="shared" si="29"/>
        <v>0</v>
      </c>
      <c r="H164" s="1067">
        <f t="shared" si="29"/>
        <v>0</v>
      </c>
      <c r="I164" s="1067">
        <f t="shared" si="29"/>
        <v>0</v>
      </c>
      <c r="J164" s="1067">
        <f t="shared" si="29"/>
        <v>0</v>
      </c>
      <c r="K164" s="1067">
        <f t="shared" si="29"/>
        <v>0</v>
      </c>
      <c r="L164" s="1067">
        <f t="shared" si="29"/>
        <v>0</v>
      </c>
      <c r="M164" s="1067">
        <f t="shared" si="29"/>
        <v>0</v>
      </c>
      <c r="N164" s="106"/>
      <c r="O164" s="541"/>
    </row>
    <row r="165" spans="1:15" outlineLevel="1">
      <c r="A165" s="740">
        <f>ROW()</f>
        <v>165</v>
      </c>
      <c r="B165" s="315" t="s">
        <v>509</v>
      </c>
      <c r="C165" s="252" t="s">
        <v>472</v>
      </c>
      <c r="D165" s="252" t="s">
        <v>503</v>
      </c>
      <c r="E165" s="256">
        <v>0</v>
      </c>
      <c r="F165" s="316" t="s">
        <v>504</v>
      </c>
      <c r="G165" s="1067">
        <f t="shared" si="29"/>
        <v>0</v>
      </c>
      <c r="H165" s="1067">
        <f t="shared" si="29"/>
        <v>0</v>
      </c>
      <c r="I165" s="1067">
        <f t="shared" si="29"/>
        <v>0</v>
      </c>
      <c r="J165" s="1067">
        <f t="shared" si="29"/>
        <v>0</v>
      </c>
      <c r="K165" s="1067">
        <f t="shared" si="29"/>
        <v>0</v>
      </c>
      <c r="L165" s="1067">
        <f t="shared" si="29"/>
        <v>0</v>
      </c>
      <c r="M165" s="1067">
        <f t="shared" si="29"/>
        <v>0</v>
      </c>
      <c r="N165" s="106"/>
      <c r="O165" s="541"/>
    </row>
    <row r="166" spans="1:15" outlineLevel="1">
      <c r="A166" s="740">
        <f>ROW()</f>
        <v>166</v>
      </c>
      <c r="B166" s="315"/>
      <c r="C166" s="252" t="s">
        <v>472</v>
      </c>
      <c r="D166" s="252" t="s">
        <v>503</v>
      </c>
      <c r="E166" s="256">
        <v>0</v>
      </c>
      <c r="F166" s="316"/>
      <c r="G166" s="1067">
        <f t="shared" si="29"/>
        <v>0</v>
      </c>
      <c r="H166" s="1067">
        <f t="shared" si="29"/>
        <v>0</v>
      </c>
      <c r="I166" s="1067">
        <f t="shared" si="29"/>
        <v>0</v>
      </c>
      <c r="J166" s="1067">
        <f t="shared" si="29"/>
        <v>0</v>
      </c>
      <c r="K166" s="1067">
        <f t="shared" si="29"/>
        <v>0</v>
      </c>
      <c r="L166" s="1067">
        <f t="shared" si="29"/>
        <v>0</v>
      </c>
      <c r="M166" s="1067">
        <f t="shared" si="29"/>
        <v>0</v>
      </c>
      <c r="O166" s="541"/>
    </row>
    <row r="167" spans="1:15" outlineLevel="1">
      <c r="A167" s="740">
        <f>ROW()</f>
        <v>167</v>
      </c>
      <c r="B167" s="237"/>
      <c r="C167" s="243"/>
      <c r="D167" s="281"/>
      <c r="E167" s="245"/>
      <c r="F167" s="244"/>
      <c r="G167" s="419"/>
      <c r="H167" s="419"/>
      <c r="I167" s="419"/>
      <c r="J167" s="419"/>
      <c r="K167" s="419"/>
      <c r="L167" s="419"/>
      <c r="M167" s="419"/>
      <c r="N167" s="106"/>
      <c r="O167" s="541"/>
    </row>
    <row r="168" spans="1:15" outlineLevel="1">
      <c r="A168" s="740">
        <f>ROW()</f>
        <v>168</v>
      </c>
      <c r="B168" s="315" t="s">
        <v>510</v>
      </c>
      <c r="C168" s="252" t="s">
        <v>1261</v>
      </c>
      <c r="D168" s="252" t="s">
        <v>503</v>
      </c>
      <c r="E168" s="514">
        <v>50000</v>
      </c>
      <c r="F168" s="316" t="s">
        <v>504</v>
      </c>
      <c r="G168" s="1067">
        <f t="shared" ref="G168:M172" si="30">IF($D168&lt;=G$10,1,0)</f>
        <v>0</v>
      </c>
      <c r="H168" s="1067">
        <f t="shared" si="30"/>
        <v>0</v>
      </c>
      <c r="I168" s="1067">
        <f t="shared" si="30"/>
        <v>0</v>
      </c>
      <c r="J168" s="1067">
        <f t="shared" si="30"/>
        <v>0</v>
      </c>
      <c r="K168" s="1067">
        <v>3</v>
      </c>
      <c r="L168" s="1067">
        <v>3</v>
      </c>
      <c r="M168" s="1067">
        <v>3</v>
      </c>
      <c r="N168" s="106"/>
      <c r="O168" s="541"/>
    </row>
    <row r="169" spans="1:15" outlineLevel="1">
      <c r="A169" s="740">
        <f>ROW()</f>
        <v>169</v>
      </c>
      <c r="B169" s="315" t="s">
        <v>510</v>
      </c>
      <c r="C169" s="252" t="s">
        <v>472</v>
      </c>
      <c r="D169" s="252" t="s">
        <v>503</v>
      </c>
      <c r="E169" s="256">
        <v>0</v>
      </c>
      <c r="F169" s="316" t="s">
        <v>504</v>
      </c>
      <c r="G169" s="1067">
        <f t="shared" si="30"/>
        <v>0</v>
      </c>
      <c r="H169" s="1067">
        <f t="shared" si="30"/>
        <v>0</v>
      </c>
      <c r="I169" s="1067">
        <f t="shared" si="30"/>
        <v>0</v>
      </c>
      <c r="J169" s="1067">
        <f t="shared" si="30"/>
        <v>0</v>
      </c>
      <c r="K169" s="1067">
        <f t="shared" si="30"/>
        <v>0</v>
      </c>
      <c r="L169" s="1067">
        <f t="shared" si="30"/>
        <v>0</v>
      </c>
      <c r="M169" s="1067">
        <f t="shared" si="30"/>
        <v>0</v>
      </c>
      <c r="N169" s="106"/>
      <c r="O169" s="541"/>
    </row>
    <row r="170" spans="1:15" outlineLevel="1">
      <c r="A170" s="740">
        <f>ROW()</f>
        <v>170</v>
      </c>
      <c r="B170" s="315" t="s">
        <v>510</v>
      </c>
      <c r="C170" s="252" t="s">
        <v>472</v>
      </c>
      <c r="D170" s="252" t="s">
        <v>503</v>
      </c>
      <c r="E170" s="256">
        <v>0</v>
      </c>
      <c r="F170" s="316" t="s">
        <v>504</v>
      </c>
      <c r="G170" s="1067">
        <f t="shared" si="30"/>
        <v>0</v>
      </c>
      <c r="H170" s="1067">
        <f t="shared" si="30"/>
        <v>0</v>
      </c>
      <c r="I170" s="1067">
        <f t="shared" si="30"/>
        <v>0</v>
      </c>
      <c r="J170" s="1067">
        <f t="shared" si="30"/>
        <v>0</v>
      </c>
      <c r="K170" s="1067">
        <f t="shared" si="30"/>
        <v>0</v>
      </c>
      <c r="L170" s="1067">
        <f t="shared" si="30"/>
        <v>0</v>
      </c>
      <c r="M170" s="1067">
        <f t="shared" si="30"/>
        <v>0</v>
      </c>
      <c r="N170" s="106"/>
      <c r="O170" s="541"/>
    </row>
    <row r="171" spans="1:15" outlineLevel="1">
      <c r="A171" s="740">
        <f>ROW()</f>
        <v>171</v>
      </c>
      <c r="B171" s="315" t="s">
        <v>510</v>
      </c>
      <c r="C171" s="252" t="s">
        <v>472</v>
      </c>
      <c r="D171" s="252" t="s">
        <v>503</v>
      </c>
      <c r="E171" s="256">
        <v>0</v>
      </c>
      <c r="F171" s="316" t="s">
        <v>504</v>
      </c>
      <c r="G171" s="1067">
        <f t="shared" si="30"/>
        <v>0</v>
      </c>
      <c r="H171" s="1067">
        <f t="shared" si="30"/>
        <v>0</v>
      </c>
      <c r="I171" s="1067">
        <f t="shared" si="30"/>
        <v>0</v>
      </c>
      <c r="J171" s="1067">
        <f t="shared" si="30"/>
        <v>0</v>
      </c>
      <c r="K171" s="1067">
        <f t="shared" si="30"/>
        <v>0</v>
      </c>
      <c r="L171" s="1067">
        <f t="shared" si="30"/>
        <v>0</v>
      </c>
      <c r="M171" s="1067">
        <f t="shared" si="30"/>
        <v>0</v>
      </c>
      <c r="N171" s="106"/>
      <c r="O171" s="541"/>
    </row>
    <row r="172" spans="1:15" outlineLevel="1">
      <c r="A172" s="740">
        <f>ROW()</f>
        <v>172</v>
      </c>
      <c r="B172" s="315"/>
      <c r="C172" s="252" t="s">
        <v>472</v>
      </c>
      <c r="D172" s="252" t="s">
        <v>503</v>
      </c>
      <c r="E172" s="256">
        <v>0</v>
      </c>
      <c r="F172" s="316"/>
      <c r="G172" s="1067">
        <f t="shared" si="30"/>
        <v>0</v>
      </c>
      <c r="H172" s="1067">
        <f t="shared" si="30"/>
        <v>0</v>
      </c>
      <c r="I172" s="1067">
        <f t="shared" si="30"/>
        <v>0</v>
      </c>
      <c r="J172" s="1067">
        <f t="shared" si="30"/>
        <v>0</v>
      </c>
      <c r="K172" s="1067">
        <f t="shared" si="30"/>
        <v>0</v>
      </c>
      <c r="L172" s="1067">
        <f t="shared" si="30"/>
        <v>0</v>
      </c>
      <c r="M172" s="1067">
        <f t="shared" si="30"/>
        <v>0</v>
      </c>
      <c r="N172" s="106"/>
      <c r="O172" s="541"/>
    </row>
    <row r="173" spans="1:15" outlineLevel="1">
      <c r="A173" s="740">
        <f>ROW()</f>
        <v>173</v>
      </c>
      <c r="B173" s="237"/>
      <c r="C173" s="232"/>
      <c r="D173" s="242"/>
      <c r="E173" s="245"/>
      <c r="F173" s="244"/>
      <c r="G173" s="419"/>
      <c r="H173" s="419"/>
      <c r="I173" s="419"/>
      <c r="J173" s="419"/>
      <c r="K173" s="419"/>
      <c r="L173" s="419"/>
      <c r="M173" s="419"/>
      <c r="N173" s="106"/>
      <c r="O173" s="541"/>
    </row>
    <row r="174" spans="1:15" outlineLevel="1">
      <c r="A174" s="740">
        <f>ROW()</f>
        <v>174</v>
      </c>
      <c r="B174" s="315" t="s">
        <v>511</v>
      </c>
      <c r="C174" s="252" t="s">
        <v>472</v>
      </c>
      <c r="D174" s="252" t="s">
        <v>503</v>
      </c>
      <c r="E174" s="514">
        <v>0</v>
      </c>
      <c r="F174" s="316" t="s">
        <v>504</v>
      </c>
      <c r="G174" s="1067">
        <f t="shared" ref="G174:M178" si="31">IF($D174&lt;=G$10,1,0)</f>
        <v>0</v>
      </c>
      <c r="H174" s="1067">
        <f t="shared" si="31"/>
        <v>0</v>
      </c>
      <c r="I174" s="1067">
        <f t="shared" si="31"/>
        <v>0</v>
      </c>
      <c r="J174" s="1067">
        <f t="shared" si="31"/>
        <v>0</v>
      </c>
      <c r="K174" s="1067">
        <f t="shared" si="31"/>
        <v>0</v>
      </c>
      <c r="L174" s="1067">
        <f t="shared" si="31"/>
        <v>0</v>
      </c>
      <c r="M174" s="1067">
        <f t="shared" si="31"/>
        <v>0</v>
      </c>
      <c r="N174" s="106"/>
      <c r="O174" s="541"/>
    </row>
    <row r="175" spans="1:15" outlineLevel="1">
      <c r="A175" s="740">
        <f>ROW()</f>
        <v>175</v>
      </c>
      <c r="B175" s="315" t="s">
        <v>511</v>
      </c>
      <c r="C175" s="252" t="s">
        <v>472</v>
      </c>
      <c r="D175" s="252" t="s">
        <v>503</v>
      </c>
      <c r="E175" s="256">
        <v>0</v>
      </c>
      <c r="F175" s="316" t="s">
        <v>504</v>
      </c>
      <c r="G175" s="1067">
        <f t="shared" si="31"/>
        <v>0</v>
      </c>
      <c r="H175" s="1067">
        <f t="shared" si="31"/>
        <v>0</v>
      </c>
      <c r="I175" s="1067">
        <f t="shared" si="31"/>
        <v>0</v>
      </c>
      <c r="J175" s="1067">
        <f t="shared" si="31"/>
        <v>0</v>
      </c>
      <c r="K175" s="1067">
        <f t="shared" si="31"/>
        <v>0</v>
      </c>
      <c r="L175" s="1067">
        <f t="shared" si="31"/>
        <v>0</v>
      </c>
      <c r="M175" s="1067">
        <f t="shared" si="31"/>
        <v>0</v>
      </c>
      <c r="N175" s="106"/>
      <c r="O175" s="541"/>
    </row>
    <row r="176" spans="1:15" outlineLevel="1">
      <c r="A176" s="740">
        <f>ROW()</f>
        <v>176</v>
      </c>
      <c r="B176" s="315" t="s">
        <v>511</v>
      </c>
      <c r="C176" s="252" t="s">
        <v>472</v>
      </c>
      <c r="D176" s="252" t="s">
        <v>503</v>
      </c>
      <c r="E176" s="256">
        <v>0</v>
      </c>
      <c r="F176" s="316" t="s">
        <v>504</v>
      </c>
      <c r="G176" s="1067">
        <f t="shared" si="31"/>
        <v>0</v>
      </c>
      <c r="H176" s="1067">
        <f t="shared" si="31"/>
        <v>0</v>
      </c>
      <c r="I176" s="1067">
        <f t="shared" si="31"/>
        <v>0</v>
      </c>
      <c r="J176" s="1067">
        <f t="shared" si="31"/>
        <v>0</v>
      </c>
      <c r="K176" s="1067">
        <f t="shared" si="31"/>
        <v>0</v>
      </c>
      <c r="L176" s="1067">
        <f t="shared" si="31"/>
        <v>0</v>
      </c>
      <c r="M176" s="1067">
        <f t="shared" si="31"/>
        <v>0</v>
      </c>
      <c r="N176" s="106"/>
      <c r="O176" s="541"/>
    </row>
    <row r="177" spans="1:15" outlineLevel="1">
      <c r="A177" s="740">
        <f>ROW()</f>
        <v>177</v>
      </c>
      <c r="B177" s="315" t="s">
        <v>511</v>
      </c>
      <c r="C177" s="252" t="s">
        <v>472</v>
      </c>
      <c r="D177" s="252" t="s">
        <v>503</v>
      </c>
      <c r="E177" s="256">
        <v>0</v>
      </c>
      <c r="F177" s="316" t="s">
        <v>504</v>
      </c>
      <c r="G177" s="1067">
        <f t="shared" si="31"/>
        <v>0</v>
      </c>
      <c r="H177" s="1067">
        <f t="shared" si="31"/>
        <v>0</v>
      </c>
      <c r="I177" s="1067">
        <f t="shared" si="31"/>
        <v>0</v>
      </c>
      <c r="J177" s="1067">
        <f t="shared" si="31"/>
        <v>0</v>
      </c>
      <c r="K177" s="1067">
        <f t="shared" si="31"/>
        <v>0</v>
      </c>
      <c r="L177" s="1067">
        <f t="shared" si="31"/>
        <v>0</v>
      </c>
      <c r="M177" s="1067">
        <f t="shared" si="31"/>
        <v>0</v>
      </c>
      <c r="N177" s="106"/>
      <c r="O177" s="541"/>
    </row>
    <row r="178" spans="1:15" outlineLevel="1">
      <c r="A178" s="740">
        <f>ROW()</f>
        <v>178</v>
      </c>
      <c r="B178" s="315"/>
      <c r="C178" s="252" t="s">
        <v>472</v>
      </c>
      <c r="D178" s="252" t="s">
        <v>503</v>
      </c>
      <c r="E178" s="256">
        <v>0</v>
      </c>
      <c r="F178" s="316" t="s">
        <v>504</v>
      </c>
      <c r="G178" s="1067">
        <f t="shared" si="31"/>
        <v>0</v>
      </c>
      <c r="H178" s="1067">
        <f t="shared" si="31"/>
        <v>0</v>
      </c>
      <c r="I178" s="1067">
        <f t="shared" si="31"/>
        <v>0</v>
      </c>
      <c r="J178" s="1067">
        <f t="shared" si="31"/>
        <v>0</v>
      </c>
      <c r="K178" s="1067">
        <f t="shared" si="31"/>
        <v>0</v>
      </c>
      <c r="L178" s="1067">
        <f t="shared" si="31"/>
        <v>0</v>
      </c>
      <c r="M178" s="1067">
        <f t="shared" si="31"/>
        <v>0</v>
      </c>
      <c r="O178" s="541"/>
    </row>
    <row r="179" spans="1:15" outlineLevel="1">
      <c r="A179" s="740">
        <f>ROW()</f>
        <v>179</v>
      </c>
      <c r="B179" s="237"/>
      <c r="C179" s="243"/>
      <c r="D179" s="281"/>
      <c r="E179" s="245"/>
      <c r="F179" s="244"/>
      <c r="G179" s="419"/>
      <c r="H179" s="419"/>
      <c r="I179" s="419"/>
      <c r="J179" s="419"/>
      <c r="K179" s="419"/>
      <c r="L179" s="419"/>
      <c r="M179" s="419"/>
      <c r="N179" s="106"/>
      <c r="O179" s="541"/>
    </row>
    <row r="180" spans="1:15" outlineLevel="1">
      <c r="A180" s="740">
        <f>ROW()</f>
        <v>180</v>
      </c>
      <c r="B180" s="315" t="s">
        <v>512</v>
      </c>
      <c r="C180" s="252" t="s">
        <v>472</v>
      </c>
      <c r="D180" s="252" t="s">
        <v>503</v>
      </c>
      <c r="E180" s="514">
        <v>0</v>
      </c>
      <c r="F180" s="316" t="s">
        <v>504</v>
      </c>
      <c r="G180" s="1067">
        <f t="shared" ref="G180:M185" si="32">IF($D180&lt;=G$10,1,0)</f>
        <v>0</v>
      </c>
      <c r="H180" s="1067">
        <f t="shared" si="32"/>
        <v>0</v>
      </c>
      <c r="I180" s="1067">
        <f t="shared" si="32"/>
        <v>0</v>
      </c>
      <c r="J180" s="1067">
        <f t="shared" si="32"/>
        <v>0</v>
      </c>
      <c r="K180" s="1067">
        <f t="shared" si="32"/>
        <v>0</v>
      </c>
      <c r="L180" s="1067">
        <f t="shared" si="32"/>
        <v>0</v>
      </c>
      <c r="M180" s="1067">
        <f t="shared" si="32"/>
        <v>0</v>
      </c>
      <c r="N180" s="106"/>
      <c r="O180" s="541"/>
    </row>
    <row r="181" spans="1:15" outlineLevel="1">
      <c r="A181" s="740">
        <f>ROW()</f>
        <v>181</v>
      </c>
      <c r="B181" s="315" t="s">
        <v>512</v>
      </c>
      <c r="C181" s="252" t="s">
        <v>472</v>
      </c>
      <c r="D181" s="252" t="s">
        <v>503</v>
      </c>
      <c r="E181" s="256">
        <v>0</v>
      </c>
      <c r="F181" s="316" t="s">
        <v>504</v>
      </c>
      <c r="G181" s="1067">
        <f t="shared" si="32"/>
        <v>0</v>
      </c>
      <c r="H181" s="1067">
        <f t="shared" si="32"/>
        <v>0</v>
      </c>
      <c r="I181" s="1067">
        <f t="shared" si="32"/>
        <v>0</v>
      </c>
      <c r="J181" s="1067">
        <f t="shared" si="32"/>
        <v>0</v>
      </c>
      <c r="K181" s="1067">
        <f t="shared" si="32"/>
        <v>0</v>
      </c>
      <c r="L181" s="1067">
        <f t="shared" si="32"/>
        <v>0</v>
      </c>
      <c r="M181" s="1067">
        <f t="shared" si="32"/>
        <v>0</v>
      </c>
      <c r="N181" s="106"/>
      <c r="O181" s="541"/>
    </row>
    <row r="182" spans="1:15" outlineLevel="1">
      <c r="A182" s="740">
        <f>ROW()</f>
        <v>182</v>
      </c>
      <c r="B182" s="315" t="s">
        <v>512</v>
      </c>
      <c r="C182" s="252" t="s">
        <v>472</v>
      </c>
      <c r="D182" s="252" t="s">
        <v>503</v>
      </c>
      <c r="E182" s="256">
        <v>0</v>
      </c>
      <c r="F182" s="316" t="s">
        <v>504</v>
      </c>
      <c r="G182" s="1067">
        <f t="shared" si="32"/>
        <v>0</v>
      </c>
      <c r="H182" s="1067">
        <f t="shared" si="32"/>
        <v>0</v>
      </c>
      <c r="I182" s="1067">
        <f t="shared" si="32"/>
        <v>0</v>
      </c>
      <c r="J182" s="1067">
        <f t="shared" si="32"/>
        <v>0</v>
      </c>
      <c r="K182" s="1067">
        <f t="shared" si="32"/>
        <v>0</v>
      </c>
      <c r="L182" s="1067">
        <f t="shared" si="32"/>
        <v>0</v>
      </c>
      <c r="M182" s="1067">
        <f t="shared" si="32"/>
        <v>0</v>
      </c>
      <c r="N182" s="106"/>
      <c r="O182" s="541"/>
    </row>
    <row r="183" spans="1:15" outlineLevel="1">
      <c r="A183" s="740">
        <f>ROW()</f>
        <v>183</v>
      </c>
      <c r="B183" s="315" t="s">
        <v>512</v>
      </c>
      <c r="C183" s="252" t="s">
        <v>472</v>
      </c>
      <c r="D183" s="252" t="s">
        <v>503</v>
      </c>
      <c r="E183" s="256">
        <v>0</v>
      </c>
      <c r="F183" s="316" t="s">
        <v>504</v>
      </c>
      <c r="G183" s="1067">
        <f t="shared" si="32"/>
        <v>0</v>
      </c>
      <c r="H183" s="1067">
        <f t="shared" si="32"/>
        <v>0</v>
      </c>
      <c r="I183" s="1067">
        <f t="shared" si="32"/>
        <v>0</v>
      </c>
      <c r="J183" s="1067">
        <f t="shared" si="32"/>
        <v>0</v>
      </c>
      <c r="K183" s="1067">
        <f t="shared" si="32"/>
        <v>0</v>
      </c>
      <c r="L183" s="1067">
        <f t="shared" si="32"/>
        <v>0</v>
      </c>
      <c r="M183" s="1067">
        <f t="shared" si="32"/>
        <v>0</v>
      </c>
      <c r="N183" s="106"/>
      <c r="O183" s="541"/>
    </row>
    <row r="184" spans="1:15" outlineLevel="1">
      <c r="A184" s="740">
        <f>ROW()</f>
        <v>184</v>
      </c>
      <c r="B184" s="315"/>
      <c r="C184" s="252" t="s">
        <v>472</v>
      </c>
      <c r="D184" s="252" t="s">
        <v>503</v>
      </c>
      <c r="E184" s="256">
        <v>0</v>
      </c>
      <c r="F184" s="316" t="s">
        <v>504</v>
      </c>
      <c r="G184" s="1067">
        <f t="shared" si="32"/>
        <v>0</v>
      </c>
      <c r="H184" s="1067">
        <f t="shared" si="32"/>
        <v>0</v>
      </c>
      <c r="I184" s="1067">
        <f t="shared" si="32"/>
        <v>0</v>
      </c>
      <c r="J184" s="1067">
        <f t="shared" si="32"/>
        <v>0</v>
      </c>
      <c r="K184" s="1067">
        <f t="shared" si="32"/>
        <v>0</v>
      </c>
      <c r="L184" s="1067">
        <f t="shared" si="32"/>
        <v>0</v>
      </c>
      <c r="M184" s="1067">
        <f t="shared" si="32"/>
        <v>0</v>
      </c>
      <c r="N184" s="106"/>
      <c r="O184" s="541"/>
    </row>
    <row r="185" spans="1:15" outlineLevel="1">
      <c r="A185" s="740">
        <f>ROW()</f>
        <v>185</v>
      </c>
      <c r="B185" s="315"/>
      <c r="C185" s="252" t="s">
        <v>472</v>
      </c>
      <c r="D185" s="252" t="s">
        <v>503</v>
      </c>
      <c r="E185" s="316"/>
      <c r="F185" s="316" t="s">
        <v>504</v>
      </c>
      <c r="G185" s="1067">
        <f t="shared" si="32"/>
        <v>0</v>
      </c>
      <c r="H185" s="1067">
        <f t="shared" si="32"/>
        <v>0</v>
      </c>
      <c r="I185" s="1067">
        <f t="shared" si="32"/>
        <v>0</v>
      </c>
      <c r="J185" s="1067">
        <f t="shared" si="32"/>
        <v>0</v>
      </c>
      <c r="K185" s="1067">
        <f t="shared" si="32"/>
        <v>0</v>
      </c>
      <c r="L185" s="1067">
        <f t="shared" si="32"/>
        <v>0</v>
      </c>
      <c r="M185" s="1067">
        <f t="shared" si="32"/>
        <v>0</v>
      </c>
      <c r="N185" s="106"/>
      <c r="O185" s="541"/>
    </row>
    <row r="186" spans="1:15" outlineLevel="1">
      <c r="A186" s="740">
        <f>ROW()</f>
        <v>186</v>
      </c>
      <c r="B186" s="108"/>
      <c r="C186" s="163"/>
      <c r="D186" s="163"/>
      <c r="E186" s="164"/>
      <c r="F186" s="232"/>
      <c r="G186" s="419"/>
      <c r="H186" s="419"/>
      <c r="I186" s="419"/>
      <c r="J186" s="419"/>
      <c r="K186" s="419"/>
      <c r="L186" s="419"/>
      <c r="M186" s="419"/>
      <c r="N186" s="106"/>
      <c r="O186" s="541"/>
    </row>
    <row r="187" spans="1:15" outlineLevel="1">
      <c r="A187" s="740">
        <f>ROW()</f>
        <v>187</v>
      </c>
      <c r="B187" s="315" t="s">
        <v>513</v>
      </c>
      <c r="C187" s="252" t="s">
        <v>472</v>
      </c>
      <c r="D187" s="252" t="s">
        <v>503</v>
      </c>
      <c r="E187" s="514">
        <v>0</v>
      </c>
      <c r="F187" s="316" t="s">
        <v>504</v>
      </c>
      <c r="G187" s="1067">
        <f t="shared" ref="G187:M191" si="33">IF($D187&lt;=G$10,1,0)</f>
        <v>0</v>
      </c>
      <c r="H187" s="1067">
        <f t="shared" si="33"/>
        <v>0</v>
      </c>
      <c r="I187" s="1067">
        <f t="shared" si="33"/>
        <v>0</v>
      </c>
      <c r="J187" s="1067">
        <f t="shared" si="33"/>
        <v>0</v>
      </c>
      <c r="K187" s="1067">
        <f t="shared" si="33"/>
        <v>0</v>
      </c>
      <c r="L187" s="1067">
        <f t="shared" si="33"/>
        <v>0</v>
      </c>
      <c r="M187" s="1067">
        <f t="shared" si="33"/>
        <v>0</v>
      </c>
      <c r="N187" s="106"/>
      <c r="O187" s="541"/>
    </row>
    <row r="188" spans="1:15" outlineLevel="1">
      <c r="A188" s="740">
        <f>ROW()</f>
        <v>188</v>
      </c>
      <c r="B188" s="315" t="s">
        <v>513</v>
      </c>
      <c r="C188" s="252" t="s">
        <v>472</v>
      </c>
      <c r="D188" s="252" t="s">
        <v>503</v>
      </c>
      <c r="E188" s="256">
        <v>0</v>
      </c>
      <c r="F188" s="316" t="s">
        <v>504</v>
      </c>
      <c r="G188" s="1067">
        <f t="shared" si="33"/>
        <v>0</v>
      </c>
      <c r="H188" s="1067">
        <f t="shared" si="33"/>
        <v>0</v>
      </c>
      <c r="I188" s="1067">
        <f t="shared" si="33"/>
        <v>0</v>
      </c>
      <c r="J188" s="1067">
        <f t="shared" si="33"/>
        <v>0</v>
      </c>
      <c r="K188" s="1067">
        <f t="shared" si="33"/>
        <v>0</v>
      </c>
      <c r="L188" s="1067">
        <f t="shared" si="33"/>
        <v>0</v>
      </c>
      <c r="M188" s="1067">
        <f t="shared" si="33"/>
        <v>0</v>
      </c>
      <c r="N188" s="106"/>
      <c r="O188" s="541"/>
    </row>
    <row r="189" spans="1:15" outlineLevel="1">
      <c r="A189" s="740">
        <f>ROW()</f>
        <v>189</v>
      </c>
      <c r="B189" s="315" t="s">
        <v>513</v>
      </c>
      <c r="C189" s="252" t="s">
        <v>472</v>
      </c>
      <c r="D189" s="252" t="s">
        <v>503</v>
      </c>
      <c r="E189" s="256">
        <v>0</v>
      </c>
      <c r="F189" s="316" t="s">
        <v>504</v>
      </c>
      <c r="G189" s="1067">
        <f t="shared" si="33"/>
        <v>0</v>
      </c>
      <c r="H189" s="1067">
        <f t="shared" si="33"/>
        <v>0</v>
      </c>
      <c r="I189" s="1067">
        <f t="shared" si="33"/>
        <v>0</v>
      </c>
      <c r="J189" s="1067">
        <f t="shared" si="33"/>
        <v>0</v>
      </c>
      <c r="K189" s="1067">
        <f t="shared" si="33"/>
        <v>0</v>
      </c>
      <c r="L189" s="1067">
        <f t="shared" si="33"/>
        <v>0</v>
      </c>
      <c r="M189" s="1067">
        <f t="shared" si="33"/>
        <v>0</v>
      </c>
      <c r="N189" s="106"/>
      <c r="O189" s="541"/>
    </row>
    <row r="190" spans="1:15" outlineLevel="1">
      <c r="A190" s="740">
        <f>ROW()</f>
        <v>190</v>
      </c>
      <c r="B190" s="315" t="s">
        <v>513</v>
      </c>
      <c r="C190" s="252" t="s">
        <v>472</v>
      </c>
      <c r="D190" s="252" t="s">
        <v>503</v>
      </c>
      <c r="E190" s="256">
        <v>0</v>
      </c>
      <c r="F190" s="316" t="s">
        <v>504</v>
      </c>
      <c r="G190" s="1067">
        <f t="shared" si="33"/>
        <v>0</v>
      </c>
      <c r="H190" s="1067">
        <f t="shared" si="33"/>
        <v>0</v>
      </c>
      <c r="I190" s="1067">
        <f t="shared" si="33"/>
        <v>0</v>
      </c>
      <c r="J190" s="1067">
        <f t="shared" si="33"/>
        <v>0</v>
      </c>
      <c r="K190" s="1067">
        <f t="shared" si="33"/>
        <v>0</v>
      </c>
      <c r="L190" s="1067">
        <f t="shared" si="33"/>
        <v>0</v>
      </c>
      <c r="M190" s="1067">
        <f t="shared" si="33"/>
        <v>0</v>
      </c>
      <c r="N190" s="106"/>
      <c r="O190" s="541"/>
    </row>
    <row r="191" spans="1:15" outlineLevel="1">
      <c r="A191" s="740">
        <f>ROW()</f>
        <v>191</v>
      </c>
      <c r="B191" s="315"/>
      <c r="C191" s="252" t="s">
        <v>472</v>
      </c>
      <c r="D191" s="252" t="s">
        <v>503</v>
      </c>
      <c r="E191" s="256">
        <v>0</v>
      </c>
      <c r="F191" s="316" t="s">
        <v>504</v>
      </c>
      <c r="G191" s="1067">
        <f t="shared" si="33"/>
        <v>0</v>
      </c>
      <c r="H191" s="1067">
        <f t="shared" si="33"/>
        <v>0</v>
      </c>
      <c r="I191" s="1067">
        <f t="shared" si="33"/>
        <v>0</v>
      </c>
      <c r="J191" s="1067">
        <f t="shared" si="33"/>
        <v>0</v>
      </c>
      <c r="K191" s="1067">
        <f t="shared" si="33"/>
        <v>0</v>
      </c>
      <c r="L191" s="1067">
        <f t="shared" si="33"/>
        <v>0</v>
      </c>
      <c r="M191" s="1067">
        <f t="shared" si="33"/>
        <v>0</v>
      </c>
      <c r="N191" s="106"/>
      <c r="O191" s="541"/>
    </row>
    <row r="192" spans="1:15" outlineLevel="1">
      <c r="A192" s="740">
        <f>ROW()</f>
        <v>192</v>
      </c>
      <c r="B192" s="84"/>
      <c r="C192" s="242"/>
      <c r="D192" s="242"/>
      <c r="E192" s="245"/>
      <c r="F192" s="244"/>
      <c r="G192" s="419"/>
      <c r="H192" s="419"/>
      <c r="I192" s="419"/>
      <c r="J192" s="419"/>
      <c r="K192" s="419"/>
      <c r="L192" s="419"/>
      <c r="M192" s="419"/>
      <c r="N192" s="106"/>
      <c r="O192" s="541"/>
    </row>
    <row r="193" spans="1:15" outlineLevel="1">
      <c r="A193" s="740">
        <f>ROW()</f>
        <v>193</v>
      </c>
      <c r="B193" s="315" t="s">
        <v>1262</v>
      </c>
      <c r="C193" s="252" t="s">
        <v>1263</v>
      </c>
      <c r="D193" s="252" t="s">
        <v>503</v>
      </c>
      <c r="E193" s="514">
        <v>49000</v>
      </c>
      <c r="F193" s="316" t="s">
        <v>504</v>
      </c>
      <c r="G193" s="1067">
        <f t="shared" ref="G193:M197" si="34">IF($D193&lt;=G$10,1,0)</f>
        <v>0</v>
      </c>
      <c r="H193" s="1067">
        <v>1</v>
      </c>
      <c r="I193" s="1067">
        <v>1</v>
      </c>
      <c r="J193" s="1067">
        <v>1</v>
      </c>
      <c r="K193" s="1067">
        <v>1</v>
      </c>
      <c r="L193" s="1067">
        <v>1</v>
      </c>
      <c r="M193" s="1067">
        <v>1</v>
      </c>
      <c r="N193" s="106"/>
      <c r="O193" s="541"/>
    </row>
    <row r="194" spans="1:15" outlineLevel="1">
      <c r="A194" s="740">
        <f>ROW()</f>
        <v>194</v>
      </c>
      <c r="B194" s="315" t="s">
        <v>1262</v>
      </c>
      <c r="C194" s="252" t="s">
        <v>1263</v>
      </c>
      <c r="D194" s="252" t="s">
        <v>503</v>
      </c>
      <c r="E194" s="256">
        <v>49000</v>
      </c>
      <c r="F194" s="316" t="s">
        <v>504</v>
      </c>
      <c r="G194" s="1067">
        <f t="shared" si="34"/>
        <v>0</v>
      </c>
      <c r="H194" s="1067">
        <f t="shared" si="34"/>
        <v>0</v>
      </c>
      <c r="I194" s="1067"/>
      <c r="J194" s="1067">
        <v>1</v>
      </c>
      <c r="K194" s="1067">
        <v>1</v>
      </c>
      <c r="L194" s="1067">
        <v>1</v>
      </c>
      <c r="M194" s="1067">
        <v>1</v>
      </c>
      <c r="N194" s="106"/>
      <c r="O194" s="541"/>
    </row>
    <row r="195" spans="1:15" outlineLevel="1">
      <c r="A195" s="740">
        <f>ROW()</f>
        <v>195</v>
      </c>
      <c r="B195" s="315" t="s">
        <v>502</v>
      </c>
      <c r="C195" s="252" t="s">
        <v>472</v>
      </c>
      <c r="D195" s="252" t="s">
        <v>503</v>
      </c>
      <c r="E195" s="256">
        <v>0</v>
      </c>
      <c r="F195" s="316" t="s">
        <v>504</v>
      </c>
      <c r="G195" s="1067">
        <f t="shared" si="34"/>
        <v>0</v>
      </c>
      <c r="H195" s="1067">
        <f t="shared" si="34"/>
        <v>0</v>
      </c>
      <c r="I195" s="1067">
        <f t="shared" si="34"/>
        <v>0</v>
      </c>
      <c r="J195" s="1067">
        <f t="shared" si="34"/>
        <v>0</v>
      </c>
      <c r="K195" s="1067">
        <f t="shared" si="34"/>
        <v>0</v>
      </c>
      <c r="L195" s="1067">
        <f t="shared" si="34"/>
        <v>0</v>
      </c>
      <c r="M195" s="1067">
        <f t="shared" si="34"/>
        <v>0</v>
      </c>
      <c r="N195" s="106"/>
      <c r="O195" s="541"/>
    </row>
    <row r="196" spans="1:15" outlineLevel="1">
      <c r="A196" s="740">
        <f>ROW()</f>
        <v>196</v>
      </c>
      <c r="B196" s="315" t="s">
        <v>502</v>
      </c>
      <c r="C196" s="252" t="s">
        <v>472</v>
      </c>
      <c r="D196" s="252" t="s">
        <v>503</v>
      </c>
      <c r="E196" s="256">
        <v>0</v>
      </c>
      <c r="F196" s="316" t="s">
        <v>504</v>
      </c>
      <c r="G196" s="1067">
        <f t="shared" si="34"/>
        <v>0</v>
      </c>
      <c r="H196" s="1067">
        <f t="shared" si="34"/>
        <v>0</v>
      </c>
      <c r="I196" s="1067">
        <f t="shared" si="34"/>
        <v>0</v>
      </c>
      <c r="J196" s="1067">
        <f t="shared" si="34"/>
        <v>0</v>
      </c>
      <c r="K196" s="1067">
        <f t="shared" si="34"/>
        <v>0</v>
      </c>
      <c r="L196" s="1067">
        <f t="shared" si="34"/>
        <v>0</v>
      </c>
      <c r="M196" s="1067">
        <f t="shared" si="34"/>
        <v>0</v>
      </c>
      <c r="N196" s="106"/>
      <c r="O196" s="541"/>
    </row>
    <row r="197" spans="1:15" outlineLevel="1">
      <c r="A197" s="740">
        <f>ROW()</f>
        <v>197</v>
      </c>
      <c r="B197" s="315" t="s">
        <v>502</v>
      </c>
      <c r="C197" s="252" t="s">
        <v>472</v>
      </c>
      <c r="D197" s="252" t="s">
        <v>503</v>
      </c>
      <c r="E197" s="256">
        <v>0</v>
      </c>
      <c r="F197" s="316" t="s">
        <v>504</v>
      </c>
      <c r="G197" s="1067">
        <f t="shared" si="34"/>
        <v>0</v>
      </c>
      <c r="H197" s="1067">
        <f t="shared" si="34"/>
        <v>0</v>
      </c>
      <c r="I197" s="1067">
        <f t="shared" si="34"/>
        <v>0</v>
      </c>
      <c r="J197" s="1067">
        <f t="shared" si="34"/>
        <v>0</v>
      </c>
      <c r="K197" s="1067">
        <f t="shared" si="34"/>
        <v>0</v>
      </c>
      <c r="L197" s="1067">
        <f t="shared" si="34"/>
        <v>0</v>
      </c>
      <c r="M197" s="1067">
        <f t="shared" si="34"/>
        <v>0</v>
      </c>
      <c r="N197" s="106"/>
      <c r="O197" s="541"/>
    </row>
    <row r="198" spans="1:15" outlineLevel="1">
      <c r="A198" s="740">
        <f>ROW()</f>
        <v>198</v>
      </c>
      <c r="B198" s="84"/>
      <c r="C198" s="242"/>
      <c r="D198" s="242"/>
      <c r="E198" s="245"/>
      <c r="F198" s="244"/>
      <c r="G198" s="419"/>
      <c r="H198" s="419"/>
      <c r="I198" s="419"/>
      <c r="J198" s="419"/>
      <c r="K198" s="419"/>
      <c r="L198" s="419"/>
      <c r="M198" s="419"/>
      <c r="N198" s="106"/>
      <c r="O198" s="541"/>
    </row>
    <row r="199" spans="1:15" outlineLevel="1">
      <c r="A199" s="740">
        <f>ROW()</f>
        <v>199</v>
      </c>
      <c r="B199" s="315" t="s">
        <v>514</v>
      </c>
      <c r="C199" s="252" t="s">
        <v>472</v>
      </c>
      <c r="D199" s="252" t="s">
        <v>503</v>
      </c>
      <c r="E199" s="514">
        <v>0</v>
      </c>
      <c r="F199" s="316" t="s">
        <v>504</v>
      </c>
      <c r="G199" s="1067">
        <f t="shared" ref="G199:M203" si="35">IF($D199&lt;=G$10,1,0)</f>
        <v>0</v>
      </c>
      <c r="H199" s="1067">
        <f t="shared" si="35"/>
        <v>0</v>
      </c>
      <c r="I199" s="1067">
        <f t="shared" si="35"/>
        <v>0</v>
      </c>
      <c r="J199" s="1067">
        <f t="shared" si="35"/>
        <v>0</v>
      </c>
      <c r="K199" s="1067">
        <f t="shared" si="35"/>
        <v>0</v>
      </c>
      <c r="L199" s="1067">
        <f t="shared" si="35"/>
        <v>0</v>
      </c>
      <c r="M199" s="1067">
        <f t="shared" si="35"/>
        <v>0</v>
      </c>
      <c r="N199" s="106"/>
      <c r="O199" s="541"/>
    </row>
    <row r="200" spans="1:15" outlineLevel="1">
      <c r="A200" s="740">
        <f>ROW()</f>
        <v>200</v>
      </c>
      <c r="B200" s="315" t="s">
        <v>514</v>
      </c>
      <c r="C200" s="252" t="s">
        <v>472</v>
      </c>
      <c r="D200" s="252" t="s">
        <v>503</v>
      </c>
      <c r="E200" s="256">
        <v>0</v>
      </c>
      <c r="F200" s="316" t="s">
        <v>504</v>
      </c>
      <c r="G200" s="1067">
        <f t="shared" si="35"/>
        <v>0</v>
      </c>
      <c r="H200" s="1067">
        <f t="shared" si="35"/>
        <v>0</v>
      </c>
      <c r="I200" s="1067">
        <f t="shared" si="35"/>
        <v>0</v>
      </c>
      <c r="J200" s="1067">
        <f t="shared" si="35"/>
        <v>0</v>
      </c>
      <c r="K200" s="1067">
        <f t="shared" si="35"/>
        <v>0</v>
      </c>
      <c r="L200" s="1067">
        <f t="shared" si="35"/>
        <v>0</v>
      </c>
      <c r="M200" s="1067">
        <f t="shared" si="35"/>
        <v>0</v>
      </c>
      <c r="N200" s="106"/>
      <c r="O200" s="541"/>
    </row>
    <row r="201" spans="1:15" outlineLevel="1">
      <c r="A201" s="740">
        <f>ROW()</f>
        <v>201</v>
      </c>
      <c r="B201" s="315" t="s">
        <v>502</v>
      </c>
      <c r="C201" s="252" t="s">
        <v>472</v>
      </c>
      <c r="D201" s="252" t="s">
        <v>503</v>
      </c>
      <c r="E201" s="256">
        <v>0</v>
      </c>
      <c r="F201" s="316" t="s">
        <v>504</v>
      </c>
      <c r="G201" s="1067">
        <f t="shared" si="35"/>
        <v>0</v>
      </c>
      <c r="H201" s="1067">
        <f t="shared" si="35"/>
        <v>0</v>
      </c>
      <c r="I201" s="1067">
        <f t="shared" si="35"/>
        <v>0</v>
      </c>
      <c r="J201" s="1067">
        <f t="shared" si="35"/>
        <v>0</v>
      </c>
      <c r="K201" s="1067">
        <f t="shared" si="35"/>
        <v>0</v>
      </c>
      <c r="L201" s="1067">
        <f t="shared" si="35"/>
        <v>0</v>
      </c>
      <c r="M201" s="1067">
        <f t="shared" si="35"/>
        <v>0</v>
      </c>
      <c r="N201" s="106"/>
      <c r="O201" s="541"/>
    </row>
    <row r="202" spans="1:15" outlineLevel="1">
      <c r="A202" s="740">
        <f>ROW()</f>
        <v>202</v>
      </c>
      <c r="B202" s="315" t="s">
        <v>502</v>
      </c>
      <c r="C202" s="252" t="s">
        <v>472</v>
      </c>
      <c r="D202" s="252" t="s">
        <v>503</v>
      </c>
      <c r="E202" s="256">
        <v>0</v>
      </c>
      <c r="F202" s="316" t="s">
        <v>504</v>
      </c>
      <c r="G202" s="1067">
        <f t="shared" si="35"/>
        <v>0</v>
      </c>
      <c r="H202" s="1067">
        <f t="shared" si="35"/>
        <v>0</v>
      </c>
      <c r="I202" s="1067">
        <f t="shared" si="35"/>
        <v>0</v>
      </c>
      <c r="J202" s="1067">
        <f t="shared" si="35"/>
        <v>0</v>
      </c>
      <c r="K202" s="1067">
        <f t="shared" si="35"/>
        <v>0</v>
      </c>
      <c r="L202" s="1067">
        <f t="shared" si="35"/>
        <v>0</v>
      </c>
      <c r="M202" s="1067">
        <f t="shared" si="35"/>
        <v>0</v>
      </c>
      <c r="N202" s="106"/>
      <c r="O202" s="541"/>
    </row>
    <row r="203" spans="1:15" outlineLevel="1">
      <c r="A203" s="740">
        <f>ROW()</f>
        <v>203</v>
      </c>
      <c r="B203" s="315" t="s">
        <v>502</v>
      </c>
      <c r="C203" s="252" t="s">
        <v>472</v>
      </c>
      <c r="D203" s="252" t="s">
        <v>503</v>
      </c>
      <c r="E203" s="256">
        <v>0</v>
      </c>
      <c r="F203" s="316" t="s">
        <v>504</v>
      </c>
      <c r="G203" s="1067">
        <f t="shared" si="35"/>
        <v>0</v>
      </c>
      <c r="H203" s="1067">
        <f t="shared" si="35"/>
        <v>0</v>
      </c>
      <c r="I203" s="1067">
        <f t="shared" si="35"/>
        <v>0</v>
      </c>
      <c r="J203" s="1067">
        <f t="shared" si="35"/>
        <v>0</v>
      </c>
      <c r="K203" s="1067">
        <f t="shared" si="35"/>
        <v>0</v>
      </c>
      <c r="L203" s="1067">
        <f t="shared" si="35"/>
        <v>0</v>
      </c>
      <c r="M203" s="1067">
        <f t="shared" si="35"/>
        <v>0</v>
      </c>
      <c r="N203" s="106"/>
      <c r="O203" s="541"/>
    </row>
    <row r="204" spans="1:15" outlineLevel="1">
      <c r="A204" s="740">
        <f>ROW()</f>
        <v>204</v>
      </c>
      <c r="B204" s="84"/>
      <c r="C204" s="244"/>
      <c r="D204" s="244"/>
      <c r="E204" s="291"/>
      <c r="F204" s="244"/>
      <c r="G204" s="419"/>
      <c r="H204" s="419"/>
      <c r="I204" s="419"/>
      <c r="J204" s="419"/>
      <c r="K204" s="419"/>
      <c r="L204" s="419"/>
      <c r="M204" s="419"/>
      <c r="N204" s="106"/>
      <c r="O204" s="541"/>
    </row>
    <row r="205" spans="1:15" outlineLevel="1">
      <c r="A205" s="740">
        <f>ROW()</f>
        <v>205</v>
      </c>
      <c r="B205" s="315" t="s">
        <v>1264</v>
      </c>
      <c r="C205" s="252" t="s">
        <v>472</v>
      </c>
      <c r="D205" s="252" t="s">
        <v>503</v>
      </c>
      <c r="E205" s="514">
        <v>49000</v>
      </c>
      <c r="F205" s="316" t="s">
        <v>504</v>
      </c>
      <c r="G205" s="1067">
        <f t="shared" ref="G205:M209" si="36">IF($D205&lt;=G$10,1,0)</f>
        <v>0</v>
      </c>
      <c r="H205" s="1067">
        <v>1</v>
      </c>
      <c r="I205" s="1067">
        <v>1</v>
      </c>
      <c r="J205" s="1067">
        <v>1</v>
      </c>
      <c r="K205" s="1067">
        <v>1</v>
      </c>
      <c r="L205" s="1067">
        <v>1</v>
      </c>
      <c r="M205" s="1067">
        <v>1</v>
      </c>
      <c r="N205" s="106"/>
      <c r="O205" s="541"/>
    </row>
    <row r="206" spans="1:15" outlineLevel="1">
      <c r="A206" s="740">
        <f>ROW()</f>
        <v>206</v>
      </c>
      <c r="B206" s="315" t="s">
        <v>515</v>
      </c>
      <c r="C206" s="252" t="s">
        <v>472</v>
      </c>
      <c r="D206" s="252" t="s">
        <v>503</v>
      </c>
      <c r="E206" s="256">
        <v>0</v>
      </c>
      <c r="F206" s="316" t="s">
        <v>504</v>
      </c>
      <c r="G206" s="1067">
        <f t="shared" si="36"/>
        <v>0</v>
      </c>
      <c r="H206" s="1067">
        <f t="shared" si="36"/>
        <v>0</v>
      </c>
      <c r="I206" s="1067">
        <f t="shared" si="36"/>
        <v>0</v>
      </c>
      <c r="J206" s="1067">
        <f t="shared" si="36"/>
        <v>0</v>
      </c>
      <c r="K206" s="1067">
        <f t="shared" si="36"/>
        <v>0</v>
      </c>
      <c r="L206" s="1067">
        <f t="shared" si="36"/>
        <v>0</v>
      </c>
      <c r="M206" s="1067">
        <f t="shared" si="36"/>
        <v>0</v>
      </c>
      <c r="N206" s="106"/>
      <c r="O206" s="541"/>
    </row>
    <row r="207" spans="1:15" outlineLevel="1">
      <c r="A207" s="740">
        <f>ROW()</f>
        <v>207</v>
      </c>
      <c r="B207" s="315" t="s">
        <v>502</v>
      </c>
      <c r="C207" s="252" t="s">
        <v>472</v>
      </c>
      <c r="D207" s="252" t="s">
        <v>503</v>
      </c>
      <c r="E207" s="256">
        <v>0</v>
      </c>
      <c r="F207" s="316" t="s">
        <v>504</v>
      </c>
      <c r="G207" s="1067">
        <f t="shared" si="36"/>
        <v>0</v>
      </c>
      <c r="H207" s="1067">
        <f t="shared" si="36"/>
        <v>0</v>
      </c>
      <c r="I207" s="1067">
        <f t="shared" si="36"/>
        <v>0</v>
      </c>
      <c r="J207" s="1067">
        <f t="shared" si="36"/>
        <v>0</v>
      </c>
      <c r="K207" s="1067">
        <f t="shared" si="36"/>
        <v>0</v>
      </c>
      <c r="L207" s="1067">
        <f t="shared" si="36"/>
        <v>0</v>
      </c>
      <c r="M207" s="1067">
        <f t="shared" si="36"/>
        <v>0</v>
      </c>
      <c r="N207" s="106"/>
      <c r="O207" s="541"/>
    </row>
    <row r="208" spans="1:15" outlineLevel="1">
      <c r="A208" s="740">
        <f>ROW()</f>
        <v>208</v>
      </c>
      <c r="B208" s="315" t="s">
        <v>502</v>
      </c>
      <c r="C208" s="252" t="s">
        <v>472</v>
      </c>
      <c r="D208" s="252" t="s">
        <v>503</v>
      </c>
      <c r="E208" s="256">
        <v>0</v>
      </c>
      <c r="F208" s="316" t="s">
        <v>504</v>
      </c>
      <c r="G208" s="1067">
        <f t="shared" si="36"/>
        <v>0</v>
      </c>
      <c r="H208" s="1067">
        <f t="shared" si="36"/>
        <v>0</v>
      </c>
      <c r="I208" s="1067">
        <f t="shared" si="36"/>
        <v>0</v>
      </c>
      <c r="J208" s="1067">
        <f t="shared" si="36"/>
        <v>0</v>
      </c>
      <c r="K208" s="1067">
        <f t="shared" si="36"/>
        <v>0</v>
      </c>
      <c r="L208" s="1067">
        <f t="shared" si="36"/>
        <v>0</v>
      </c>
      <c r="M208" s="1067">
        <f t="shared" si="36"/>
        <v>0</v>
      </c>
      <c r="N208" s="106"/>
      <c r="O208" s="541"/>
    </row>
    <row r="209" spans="1:15" outlineLevel="1">
      <c r="A209" s="740">
        <f>ROW()</f>
        <v>209</v>
      </c>
      <c r="B209" s="315" t="s">
        <v>502</v>
      </c>
      <c r="C209" s="252" t="s">
        <v>472</v>
      </c>
      <c r="D209" s="252" t="s">
        <v>503</v>
      </c>
      <c r="E209" s="256">
        <v>0</v>
      </c>
      <c r="F209" s="316" t="s">
        <v>504</v>
      </c>
      <c r="G209" s="1067">
        <f t="shared" si="36"/>
        <v>0</v>
      </c>
      <c r="H209" s="1067">
        <f t="shared" si="36"/>
        <v>0</v>
      </c>
      <c r="I209" s="1067">
        <f t="shared" si="36"/>
        <v>0</v>
      </c>
      <c r="J209" s="1067">
        <f t="shared" si="36"/>
        <v>0</v>
      </c>
      <c r="K209" s="1067">
        <f t="shared" si="36"/>
        <v>0</v>
      </c>
      <c r="L209" s="1067">
        <f t="shared" si="36"/>
        <v>0</v>
      </c>
      <c r="M209" s="1067">
        <f t="shared" si="36"/>
        <v>0</v>
      </c>
      <c r="N209" s="106"/>
      <c r="O209" s="541"/>
    </row>
    <row r="210" spans="1:15" outlineLevel="1">
      <c r="A210" s="740">
        <f>ROW()</f>
        <v>210</v>
      </c>
      <c r="B210" s="106"/>
      <c r="C210" s="244"/>
      <c r="D210" s="244"/>
      <c r="E210" s="245"/>
      <c r="F210" s="244"/>
      <c r="G210" s="419"/>
      <c r="H210" s="419"/>
      <c r="I210" s="419"/>
      <c r="J210" s="419"/>
      <c r="K210" s="419"/>
      <c r="L210" s="419"/>
      <c r="M210" s="419"/>
      <c r="N210" s="106"/>
      <c r="O210" s="541"/>
    </row>
    <row r="211" spans="1:15" outlineLevel="1">
      <c r="A211" s="740">
        <f>ROW()</f>
        <v>211</v>
      </c>
      <c r="B211" s="315" t="s">
        <v>1265</v>
      </c>
      <c r="C211" s="252" t="s">
        <v>472</v>
      </c>
      <c r="D211" s="252" t="s">
        <v>503</v>
      </c>
      <c r="E211" s="514">
        <v>50000</v>
      </c>
      <c r="F211" s="316" t="s">
        <v>504</v>
      </c>
      <c r="G211" s="1067">
        <f t="shared" ref="G211:M215" si="37">IF($D211&lt;=G$10,1,0)</f>
        <v>0</v>
      </c>
      <c r="H211" s="1067">
        <v>1</v>
      </c>
      <c r="I211" s="1067">
        <v>1</v>
      </c>
      <c r="J211" s="1067">
        <v>1</v>
      </c>
      <c r="K211" s="1067">
        <v>1</v>
      </c>
      <c r="L211" s="1067">
        <v>1</v>
      </c>
      <c r="M211" s="1067">
        <v>1</v>
      </c>
      <c r="N211" s="106"/>
      <c r="O211" s="541"/>
    </row>
    <row r="212" spans="1:15" outlineLevel="1">
      <c r="A212" s="740">
        <f>ROW()</f>
        <v>212</v>
      </c>
      <c r="B212" s="315" t="s">
        <v>1304</v>
      </c>
      <c r="C212" s="252" t="s">
        <v>472</v>
      </c>
      <c r="D212" s="252" t="s">
        <v>503</v>
      </c>
      <c r="E212" s="256"/>
      <c r="F212" s="316" t="s">
        <v>504</v>
      </c>
      <c r="G212" s="1067">
        <f t="shared" si="37"/>
        <v>0</v>
      </c>
      <c r="H212" s="1067"/>
      <c r="I212" s="1067"/>
      <c r="J212" s="1067"/>
      <c r="K212" s="1067"/>
      <c r="L212" s="1067"/>
      <c r="M212" s="1067"/>
      <c r="N212" s="106"/>
      <c r="O212" s="541"/>
    </row>
    <row r="213" spans="1:15" outlineLevel="1">
      <c r="A213" s="740">
        <f>ROW()</f>
        <v>213</v>
      </c>
      <c r="B213" s="315" t="s">
        <v>502</v>
      </c>
      <c r="C213" s="252" t="s">
        <v>472</v>
      </c>
      <c r="D213" s="252" t="s">
        <v>503</v>
      </c>
      <c r="E213" s="256">
        <v>0</v>
      </c>
      <c r="F213" s="316" t="s">
        <v>504</v>
      </c>
      <c r="G213" s="1067">
        <f t="shared" si="37"/>
        <v>0</v>
      </c>
      <c r="H213" s="1067">
        <f t="shared" si="37"/>
        <v>0</v>
      </c>
      <c r="I213" s="1067">
        <f t="shared" si="37"/>
        <v>0</v>
      </c>
      <c r="J213" s="1067">
        <f t="shared" si="37"/>
        <v>0</v>
      </c>
      <c r="K213" s="1067">
        <f t="shared" si="37"/>
        <v>0</v>
      </c>
      <c r="L213" s="1067">
        <f t="shared" si="37"/>
        <v>0</v>
      </c>
      <c r="M213" s="1067">
        <f t="shared" si="37"/>
        <v>0</v>
      </c>
      <c r="N213" s="106"/>
      <c r="O213" s="541"/>
    </row>
    <row r="214" spans="1:15" outlineLevel="1">
      <c r="A214" s="740">
        <f>ROW()</f>
        <v>214</v>
      </c>
      <c r="B214" s="315" t="s">
        <v>502</v>
      </c>
      <c r="C214" s="252" t="s">
        <v>472</v>
      </c>
      <c r="D214" s="252" t="s">
        <v>503</v>
      </c>
      <c r="E214" s="256">
        <v>0</v>
      </c>
      <c r="F214" s="316" t="s">
        <v>504</v>
      </c>
      <c r="G214" s="1067">
        <f t="shared" si="37"/>
        <v>0</v>
      </c>
      <c r="H214" s="1067">
        <f t="shared" si="37"/>
        <v>0</v>
      </c>
      <c r="I214" s="1067">
        <f t="shared" si="37"/>
        <v>0</v>
      </c>
      <c r="J214" s="1067">
        <f t="shared" si="37"/>
        <v>0</v>
      </c>
      <c r="K214" s="1067">
        <f t="shared" si="37"/>
        <v>0</v>
      </c>
      <c r="L214" s="1067">
        <f t="shared" si="37"/>
        <v>0</v>
      </c>
      <c r="M214" s="1067">
        <f t="shared" si="37"/>
        <v>0</v>
      </c>
      <c r="N214" s="106"/>
      <c r="O214" s="541"/>
    </row>
    <row r="215" spans="1:15" outlineLevel="1">
      <c r="A215" s="740">
        <f>ROW()</f>
        <v>215</v>
      </c>
      <c r="B215" s="315" t="s">
        <v>502</v>
      </c>
      <c r="C215" s="252" t="s">
        <v>472</v>
      </c>
      <c r="D215" s="252" t="s">
        <v>503</v>
      </c>
      <c r="E215" s="256">
        <v>0</v>
      </c>
      <c r="F215" s="316" t="s">
        <v>504</v>
      </c>
      <c r="G215" s="1067">
        <f t="shared" si="37"/>
        <v>0</v>
      </c>
      <c r="H215" s="1067">
        <f t="shared" si="37"/>
        <v>0</v>
      </c>
      <c r="I215" s="1067">
        <f t="shared" si="37"/>
        <v>0</v>
      </c>
      <c r="J215" s="1067">
        <f t="shared" si="37"/>
        <v>0</v>
      </c>
      <c r="K215" s="1067">
        <f t="shared" si="37"/>
        <v>0</v>
      </c>
      <c r="L215" s="1067">
        <f t="shared" si="37"/>
        <v>0</v>
      </c>
      <c r="M215" s="1067">
        <f t="shared" si="37"/>
        <v>0</v>
      </c>
      <c r="N215" s="106"/>
      <c r="O215" s="541"/>
    </row>
    <row r="216" spans="1:15" outlineLevel="1">
      <c r="A216" s="740">
        <f>ROW()</f>
        <v>216</v>
      </c>
      <c r="B216" s="84"/>
      <c r="C216" s="242"/>
      <c r="D216" s="242"/>
      <c r="E216" s="245"/>
      <c r="F216" s="244"/>
      <c r="G216" s="419"/>
      <c r="H216" s="419"/>
      <c r="I216" s="419"/>
      <c r="J216" s="419"/>
      <c r="K216" s="419"/>
      <c r="L216" s="419"/>
      <c r="M216" s="419"/>
      <c r="N216" s="106"/>
      <c r="O216" s="541"/>
    </row>
    <row r="217" spans="1:15" outlineLevel="1">
      <c r="A217" s="740">
        <f>ROW()</f>
        <v>217</v>
      </c>
      <c r="B217" s="315" t="s">
        <v>502</v>
      </c>
      <c r="C217" s="252" t="s">
        <v>472</v>
      </c>
      <c r="D217" s="252" t="s">
        <v>503</v>
      </c>
      <c r="E217" s="514">
        <v>0</v>
      </c>
      <c r="F217" s="316" t="s">
        <v>504</v>
      </c>
      <c r="G217" s="1067">
        <f t="shared" ref="G217:M221" si="38">IF($D217&lt;=G$10,1,0)</f>
        <v>0</v>
      </c>
      <c r="H217" s="1067">
        <f t="shared" si="38"/>
        <v>0</v>
      </c>
      <c r="I217" s="1067">
        <f t="shared" si="38"/>
        <v>0</v>
      </c>
      <c r="J217" s="1067">
        <f t="shared" si="38"/>
        <v>0</v>
      </c>
      <c r="K217" s="1067">
        <f t="shared" si="38"/>
        <v>0</v>
      </c>
      <c r="L217" s="1067">
        <f t="shared" si="38"/>
        <v>0</v>
      </c>
      <c r="M217" s="1067">
        <f t="shared" si="38"/>
        <v>0</v>
      </c>
      <c r="N217" s="106"/>
      <c r="O217" s="541"/>
    </row>
    <row r="218" spans="1:15" outlineLevel="1">
      <c r="A218" s="740">
        <f>ROW()</f>
        <v>218</v>
      </c>
      <c r="B218" s="315" t="s">
        <v>502</v>
      </c>
      <c r="C218" s="252" t="s">
        <v>472</v>
      </c>
      <c r="D218" s="252" t="s">
        <v>503</v>
      </c>
      <c r="E218" s="256">
        <v>0</v>
      </c>
      <c r="F218" s="316" t="s">
        <v>504</v>
      </c>
      <c r="G218" s="1067">
        <f t="shared" si="38"/>
        <v>0</v>
      </c>
      <c r="H218" s="1067">
        <f t="shared" si="38"/>
        <v>0</v>
      </c>
      <c r="I218" s="1067">
        <f t="shared" si="38"/>
        <v>0</v>
      </c>
      <c r="J218" s="1067">
        <f t="shared" si="38"/>
        <v>0</v>
      </c>
      <c r="K218" s="1067">
        <f t="shared" si="38"/>
        <v>0</v>
      </c>
      <c r="L218" s="1067">
        <f t="shared" si="38"/>
        <v>0</v>
      </c>
      <c r="M218" s="1067">
        <f t="shared" si="38"/>
        <v>0</v>
      </c>
      <c r="N218" s="106"/>
      <c r="O218" s="541"/>
    </row>
    <row r="219" spans="1:15" outlineLevel="1">
      <c r="A219" s="740">
        <f>ROW()</f>
        <v>219</v>
      </c>
      <c r="B219" s="315" t="s">
        <v>502</v>
      </c>
      <c r="C219" s="252" t="s">
        <v>472</v>
      </c>
      <c r="D219" s="252" t="s">
        <v>503</v>
      </c>
      <c r="E219" s="256">
        <v>0</v>
      </c>
      <c r="F219" s="316" t="s">
        <v>504</v>
      </c>
      <c r="G219" s="1067">
        <f t="shared" si="38"/>
        <v>0</v>
      </c>
      <c r="H219" s="1067">
        <f t="shared" si="38"/>
        <v>0</v>
      </c>
      <c r="I219" s="1067">
        <f t="shared" si="38"/>
        <v>0</v>
      </c>
      <c r="J219" s="1067">
        <f t="shared" si="38"/>
        <v>0</v>
      </c>
      <c r="K219" s="1067">
        <f t="shared" si="38"/>
        <v>0</v>
      </c>
      <c r="L219" s="1067">
        <f t="shared" si="38"/>
        <v>0</v>
      </c>
      <c r="M219" s="1067">
        <f t="shared" si="38"/>
        <v>0</v>
      </c>
      <c r="N219" s="106"/>
      <c r="O219" s="541"/>
    </row>
    <row r="220" spans="1:15" outlineLevel="1">
      <c r="A220" s="740">
        <f>ROW()</f>
        <v>220</v>
      </c>
      <c r="B220" s="315" t="s">
        <v>502</v>
      </c>
      <c r="C220" s="252" t="s">
        <v>472</v>
      </c>
      <c r="D220" s="252" t="s">
        <v>503</v>
      </c>
      <c r="E220" s="256">
        <v>0</v>
      </c>
      <c r="F220" s="316" t="s">
        <v>504</v>
      </c>
      <c r="G220" s="1067">
        <f t="shared" si="38"/>
        <v>0</v>
      </c>
      <c r="H220" s="1067">
        <f t="shared" si="38"/>
        <v>0</v>
      </c>
      <c r="I220" s="1067">
        <f t="shared" si="38"/>
        <v>0</v>
      </c>
      <c r="J220" s="1067">
        <f t="shared" si="38"/>
        <v>0</v>
      </c>
      <c r="K220" s="1067">
        <f t="shared" si="38"/>
        <v>0</v>
      </c>
      <c r="L220" s="1067">
        <f t="shared" si="38"/>
        <v>0</v>
      </c>
      <c r="M220" s="1067">
        <f t="shared" si="38"/>
        <v>0</v>
      </c>
      <c r="N220" s="106"/>
      <c r="O220" s="541"/>
    </row>
    <row r="221" spans="1:15" outlineLevel="1">
      <c r="A221" s="740">
        <f>ROW()</f>
        <v>221</v>
      </c>
      <c r="B221" s="315" t="s">
        <v>502</v>
      </c>
      <c r="C221" s="252" t="s">
        <v>472</v>
      </c>
      <c r="D221" s="252" t="s">
        <v>503</v>
      </c>
      <c r="E221" s="256">
        <v>0</v>
      </c>
      <c r="F221" s="316" t="s">
        <v>504</v>
      </c>
      <c r="G221" s="1067">
        <f t="shared" si="38"/>
        <v>0</v>
      </c>
      <c r="H221" s="1067">
        <f t="shared" si="38"/>
        <v>0</v>
      </c>
      <c r="I221" s="1067">
        <f t="shared" si="38"/>
        <v>0</v>
      </c>
      <c r="J221" s="1067">
        <f t="shared" si="38"/>
        <v>0</v>
      </c>
      <c r="K221" s="1067">
        <f t="shared" si="38"/>
        <v>0</v>
      </c>
      <c r="L221" s="1067">
        <f t="shared" si="38"/>
        <v>0</v>
      </c>
      <c r="M221" s="1067">
        <f t="shared" si="38"/>
        <v>0</v>
      </c>
      <c r="N221" s="106"/>
      <c r="O221" s="541"/>
    </row>
    <row r="222" spans="1:15" outlineLevel="1">
      <c r="A222" s="740">
        <f>ROW()</f>
        <v>222</v>
      </c>
      <c r="B222" s="84"/>
      <c r="C222" s="242"/>
      <c r="D222" s="242"/>
      <c r="E222" s="245"/>
      <c r="F222" s="244"/>
      <c r="G222" s="419"/>
      <c r="H222" s="419"/>
      <c r="I222" s="419"/>
      <c r="J222" s="419"/>
      <c r="K222" s="419"/>
      <c r="L222" s="419"/>
      <c r="M222" s="419"/>
      <c r="N222" s="106"/>
      <c r="O222" s="541"/>
    </row>
    <row r="223" spans="1:15" outlineLevel="1">
      <c r="A223" s="740">
        <f>ROW()</f>
        <v>223</v>
      </c>
      <c r="B223" s="315" t="s">
        <v>502</v>
      </c>
      <c r="C223" s="252" t="s">
        <v>472</v>
      </c>
      <c r="D223" s="252" t="s">
        <v>503</v>
      </c>
      <c r="E223" s="514">
        <v>0</v>
      </c>
      <c r="F223" s="316" t="s">
        <v>504</v>
      </c>
      <c r="G223" s="1067">
        <f t="shared" ref="G223:M227" si="39">IF($D223&lt;=G$10,1,0)</f>
        <v>0</v>
      </c>
      <c r="H223" s="1067">
        <f t="shared" si="39"/>
        <v>0</v>
      </c>
      <c r="I223" s="1067">
        <f t="shared" si="39"/>
        <v>0</v>
      </c>
      <c r="J223" s="1067">
        <f t="shared" si="39"/>
        <v>0</v>
      </c>
      <c r="K223" s="1067">
        <f t="shared" si="39"/>
        <v>0</v>
      </c>
      <c r="L223" s="1067">
        <f t="shared" si="39"/>
        <v>0</v>
      </c>
      <c r="M223" s="1067">
        <f t="shared" si="39"/>
        <v>0</v>
      </c>
      <c r="N223" s="106"/>
      <c r="O223" s="541"/>
    </row>
    <row r="224" spans="1:15" outlineLevel="1">
      <c r="A224" s="740">
        <f>ROW()</f>
        <v>224</v>
      </c>
      <c r="B224" s="315" t="s">
        <v>502</v>
      </c>
      <c r="C224" s="252" t="s">
        <v>472</v>
      </c>
      <c r="D224" s="252" t="s">
        <v>503</v>
      </c>
      <c r="E224" s="256">
        <v>0</v>
      </c>
      <c r="F224" s="316" t="s">
        <v>504</v>
      </c>
      <c r="G224" s="1067">
        <f t="shared" si="39"/>
        <v>0</v>
      </c>
      <c r="H224" s="1067">
        <f t="shared" si="39"/>
        <v>0</v>
      </c>
      <c r="I224" s="1067">
        <f t="shared" si="39"/>
        <v>0</v>
      </c>
      <c r="J224" s="1067">
        <f t="shared" si="39"/>
        <v>0</v>
      </c>
      <c r="K224" s="1067">
        <f t="shared" si="39"/>
        <v>0</v>
      </c>
      <c r="L224" s="1067">
        <f t="shared" si="39"/>
        <v>0</v>
      </c>
      <c r="M224" s="1067">
        <f t="shared" si="39"/>
        <v>0</v>
      </c>
      <c r="N224" s="106"/>
      <c r="O224" s="541"/>
    </row>
    <row r="225" spans="1:15" outlineLevel="1">
      <c r="A225" s="740">
        <f>ROW()</f>
        <v>225</v>
      </c>
      <c r="B225" s="315" t="s">
        <v>502</v>
      </c>
      <c r="C225" s="252" t="s">
        <v>472</v>
      </c>
      <c r="D225" s="252" t="s">
        <v>503</v>
      </c>
      <c r="E225" s="256">
        <v>0</v>
      </c>
      <c r="F225" s="316" t="s">
        <v>504</v>
      </c>
      <c r="G225" s="1067">
        <f t="shared" si="39"/>
        <v>0</v>
      </c>
      <c r="H225" s="1067">
        <f t="shared" si="39"/>
        <v>0</v>
      </c>
      <c r="I225" s="1067">
        <f t="shared" si="39"/>
        <v>0</v>
      </c>
      <c r="J225" s="1067">
        <f t="shared" si="39"/>
        <v>0</v>
      </c>
      <c r="K225" s="1067">
        <f t="shared" si="39"/>
        <v>0</v>
      </c>
      <c r="L225" s="1067">
        <f t="shared" si="39"/>
        <v>0</v>
      </c>
      <c r="M225" s="1067">
        <f t="shared" si="39"/>
        <v>0</v>
      </c>
      <c r="N225" s="106"/>
      <c r="O225" s="541"/>
    </row>
    <row r="226" spans="1:15" outlineLevel="1">
      <c r="A226" s="740">
        <f>ROW()</f>
        <v>226</v>
      </c>
      <c r="B226" s="315" t="s">
        <v>502</v>
      </c>
      <c r="C226" s="252" t="s">
        <v>472</v>
      </c>
      <c r="D226" s="252" t="s">
        <v>503</v>
      </c>
      <c r="E226" s="256">
        <v>0</v>
      </c>
      <c r="F226" s="316" t="s">
        <v>504</v>
      </c>
      <c r="G226" s="1067">
        <f t="shared" si="39"/>
        <v>0</v>
      </c>
      <c r="H226" s="1067">
        <f t="shared" si="39"/>
        <v>0</v>
      </c>
      <c r="I226" s="1067">
        <f t="shared" si="39"/>
        <v>0</v>
      </c>
      <c r="J226" s="1067">
        <f t="shared" si="39"/>
        <v>0</v>
      </c>
      <c r="K226" s="1067">
        <f t="shared" si="39"/>
        <v>0</v>
      </c>
      <c r="L226" s="1067">
        <f t="shared" si="39"/>
        <v>0</v>
      </c>
      <c r="M226" s="1067">
        <f t="shared" si="39"/>
        <v>0</v>
      </c>
      <c r="N226" s="106"/>
      <c r="O226" s="541"/>
    </row>
    <row r="227" spans="1:15" outlineLevel="1">
      <c r="A227" s="740">
        <f>ROW()</f>
        <v>227</v>
      </c>
      <c r="B227" s="315" t="s">
        <v>502</v>
      </c>
      <c r="C227" s="252" t="s">
        <v>472</v>
      </c>
      <c r="D227" s="252" t="s">
        <v>503</v>
      </c>
      <c r="E227" s="256">
        <v>0</v>
      </c>
      <c r="F227" s="316" t="s">
        <v>504</v>
      </c>
      <c r="G227" s="1067">
        <f t="shared" si="39"/>
        <v>0</v>
      </c>
      <c r="H227" s="1067">
        <f t="shared" si="39"/>
        <v>0</v>
      </c>
      <c r="I227" s="1067">
        <f t="shared" si="39"/>
        <v>0</v>
      </c>
      <c r="J227" s="1067">
        <f t="shared" si="39"/>
        <v>0</v>
      </c>
      <c r="K227" s="1067">
        <f t="shared" si="39"/>
        <v>0</v>
      </c>
      <c r="L227" s="1067">
        <f t="shared" si="39"/>
        <v>0</v>
      </c>
      <c r="M227" s="1067">
        <f t="shared" si="39"/>
        <v>0</v>
      </c>
      <c r="N227" s="106"/>
      <c r="O227" s="541"/>
    </row>
    <row r="228" spans="1:15">
      <c r="A228" s="740">
        <f>ROW()</f>
        <v>228</v>
      </c>
      <c r="B228" s="84"/>
      <c r="C228" s="165"/>
      <c r="D228" s="165"/>
      <c r="E228" s="146"/>
      <c r="F228" s="146"/>
      <c r="G228" s="503"/>
      <c r="H228" s="503"/>
      <c r="I228" s="503"/>
      <c r="J228" s="503"/>
      <c r="K228" s="419"/>
      <c r="L228" s="419"/>
      <c r="M228" s="419"/>
      <c r="N228" s="106"/>
      <c r="O228" s="541"/>
    </row>
    <row r="229" spans="1:15">
      <c r="A229" s="740">
        <f>ROW()</f>
        <v>229</v>
      </c>
      <c r="B229" s="210" t="s">
        <v>516</v>
      </c>
      <c r="C229" s="211"/>
      <c r="D229" s="211"/>
      <c r="E229" s="210"/>
      <c r="F229" s="210"/>
      <c r="G229" s="1837">
        <f t="shared" ref="G229:M229" si="40">SUM(G134:G227)</f>
        <v>0</v>
      </c>
      <c r="H229" s="1838">
        <f t="shared" si="40"/>
        <v>12</v>
      </c>
      <c r="I229" s="1838">
        <f t="shared" si="40"/>
        <v>15</v>
      </c>
      <c r="J229" s="1838">
        <f t="shared" si="40"/>
        <v>19</v>
      </c>
      <c r="K229" s="1838">
        <f t="shared" si="40"/>
        <v>22</v>
      </c>
      <c r="L229" s="1838">
        <f t="shared" si="40"/>
        <v>22</v>
      </c>
      <c r="M229" s="1838">
        <f t="shared" si="40"/>
        <v>22</v>
      </c>
      <c r="N229" s="231"/>
      <c r="O229" s="541"/>
    </row>
    <row r="230" spans="1:15">
      <c r="A230" s="740">
        <f>ROW()</f>
        <v>230</v>
      </c>
      <c r="B230" s="84" t="s">
        <v>517</v>
      </c>
      <c r="C230" s="84"/>
      <c r="D230" s="84"/>
      <c r="E230" s="106"/>
      <c r="F230" s="106"/>
      <c r="G230" s="490">
        <f t="shared" ref="G230:M230" si="41">+G229+G127</f>
        <v>0</v>
      </c>
      <c r="H230" s="490">
        <f t="shared" si="41"/>
        <v>17</v>
      </c>
      <c r="I230" s="490">
        <f t="shared" si="41"/>
        <v>21</v>
      </c>
      <c r="J230" s="490">
        <f t="shared" si="41"/>
        <v>27</v>
      </c>
      <c r="K230" s="490">
        <f t="shared" si="41"/>
        <v>31</v>
      </c>
      <c r="L230" s="490">
        <f t="shared" si="41"/>
        <v>31</v>
      </c>
      <c r="M230" s="490">
        <f t="shared" si="41"/>
        <v>31</v>
      </c>
      <c r="O230" s="541"/>
    </row>
    <row r="231" spans="1:15">
      <c r="A231" s="740">
        <f>ROW()</f>
        <v>231</v>
      </c>
      <c r="B231" s="84"/>
      <c r="C231" s="84"/>
      <c r="D231" s="84"/>
      <c r="E231" s="106"/>
      <c r="F231" s="106"/>
      <c r="G231" s="503"/>
      <c r="H231" s="503"/>
      <c r="I231" s="503"/>
      <c r="J231" s="503"/>
      <c r="K231" s="503"/>
      <c r="L231" s="489"/>
      <c r="M231" s="489"/>
      <c r="O231" s="541"/>
    </row>
    <row r="232" spans="1:15" ht="15.75">
      <c r="A232" s="740">
        <f>ROW()</f>
        <v>232</v>
      </c>
      <c r="B232" s="166" t="s">
        <v>518</v>
      </c>
      <c r="C232" s="166"/>
      <c r="D232" s="166"/>
      <c r="E232" s="166"/>
      <c r="F232" s="166"/>
      <c r="G232" s="504"/>
      <c r="H232" s="504"/>
      <c r="I232" s="504"/>
      <c r="J232" s="504"/>
      <c r="K232" s="504"/>
      <c r="L232" s="505"/>
      <c r="M232" s="505"/>
      <c r="O232" s="541"/>
    </row>
    <row r="233" spans="1:15" outlineLevel="1">
      <c r="A233" s="740">
        <f>ROW()</f>
        <v>233</v>
      </c>
      <c r="B233" s="167"/>
      <c r="C233" s="84"/>
      <c r="D233" s="84"/>
      <c r="E233" s="84"/>
      <c r="F233" s="84"/>
      <c r="G233" s="503"/>
      <c r="H233" s="503"/>
      <c r="I233" s="503"/>
      <c r="J233" s="503"/>
      <c r="K233" s="503"/>
      <c r="L233" s="489"/>
      <c r="M233" s="42"/>
      <c r="N233" s="89"/>
      <c r="O233" s="541"/>
    </row>
    <row r="234" spans="1:15" outlineLevel="1">
      <c r="A234" s="740">
        <f>ROW()</f>
        <v>234</v>
      </c>
      <c r="B234" s="282" t="str">
        <f>$B$74</f>
        <v>Administrators (Full-time &amp; Part-Time w/benefits)</v>
      </c>
      <c r="C234" s="111"/>
      <c r="D234" s="111"/>
      <c r="E234" s="111"/>
      <c r="F234" s="111"/>
      <c r="G234" s="503"/>
      <c r="H234" s="503"/>
      <c r="I234" s="503"/>
      <c r="J234" s="503"/>
      <c r="K234" s="503"/>
      <c r="L234" s="489"/>
      <c r="M234" s="42"/>
      <c r="N234" s="89"/>
      <c r="O234" s="541"/>
    </row>
    <row r="235" spans="1:15" outlineLevel="1">
      <c r="A235" s="740">
        <f>ROW()</f>
        <v>235</v>
      </c>
      <c r="B235" s="84" t="str">
        <f>$B75</f>
        <v>Principal</v>
      </c>
      <c r="C235" s="219">
        <f t="shared" ref="C235:C240" si="42">SUM(G235:M235)</f>
        <v>528000</v>
      </c>
      <c r="D235" s="168"/>
      <c r="E235" s="168"/>
      <c r="F235" s="168"/>
      <c r="G235" s="1070">
        <f>G75*$D75</f>
        <v>0</v>
      </c>
      <c r="H235" s="1070">
        <f t="shared" ref="H235:M239" si="43">(H75*$D75)</f>
        <v>88000</v>
      </c>
      <c r="I235" s="1070">
        <f t="shared" si="43"/>
        <v>88000</v>
      </c>
      <c r="J235" s="1070">
        <f t="shared" si="43"/>
        <v>88000</v>
      </c>
      <c r="K235" s="1070">
        <f t="shared" si="43"/>
        <v>88000</v>
      </c>
      <c r="L235" s="1070">
        <f t="shared" si="43"/>
        <v>88000</v>
      </c>
      <c r="M235" s="1070">
        <f t="shared" si="43"/>
        <v>88000</v>
      </c>
      <c r="O235" s="541"/>
    </row>
    <row r="236" spans="1:15" outlineLevel="1">
      <c r="A236" s="740">
        <f>ROW()</f>
        <v>236</v>
      </c>
      <c r="B236" s="84">
        <f>$B76</f>
        <v>0</v>
      </c>
      <c r="C236" s="229">
        <f t="shared" si="42"/>
        <v>0</v>
      </c>
      <c r="D236" s="89"/>
      <c r="E236" s="89"/>
      <c r="F236" s="168"/>
      <c r="G236" s="992">
        <f>G76*$D76</f>
        <v>0</v>
      </c>
      <c r="H236" s="992">
        <f t="shared" si="43"/>
        <v>0</v>
      </c>
      <c r="I236" s="992">
        <f t="shared" si="43"/>
        <v>0</v>
      </c>
      <c r="J236" s="992">
        <f t="shared" si="43"/>
        <v>0</v>
      </c>
      <c r="K236" s="992">
        <f t="shared" si="43"/>
        <v>0</v>
      </c>
      <c r="L236" s="992">
        <f t="shared" si="43"/>
        <v>0</v>
      </c>
      <c r="M236" s="992">
        <f t="shared" si="43"/>
        <v>0</v>
      </c>
      <c r="O236" s="541"/>
    </row>
    <row r="237" spans="1:15" outlineLevel="1">
      <c r="A237" s="740">
        <f>ROW()</f>
        <v>237</v>
      </c>
      <c r="B237" s="84" t="str">
        <f t="shared" ref="B237:B239" si="44">$B77</f>
        <v>Admin 3</v>
      </c>
      <c r="C237" s="229">
        <f t="shared" si="42"/>
        <v>0</v>
      </c>
      <c r="D237" s="89"/>
      <c r="E237" s="89"/>
      <c r="F237" s="168"/>
      <c r="G237" s="992">
        <f>G77*$D77</f>
        <v>0</v>
      </c>
      <c r="H237" s="992">
        <f t="shared" si="43"/>
        <v>0</v>
      </c>
      <c r="I237" s="992">
        <f t="shared" si="43"/>
        <v>0</v>
      </c>
      <c r="J237" s="992">
        <f t="shared" si="43"/>
        <v>0</v>
      </c>
      <c r="K237" s="992">
        <f t="shared" si="43"/>
        <v>0</v>
      </c>
      <c r="L237" s="992">
        <f t="shared" si="43"/>
        <v>0</v>
      </c>
      <c r="M237" s="992">
        <f t="shared" si="43"/>
        <v>0</v>
      </c>
      <c r="O237" s="541"/>
    </row>
    <row r="238" spans="1:15" outlineLevel="1">
      <c r="A238" s="740">
        <f>ROW()</f>
        <v>238</v>
      </c>
      <c r="B238" s="84" t="str">
        <f t="shared" si="44"/>
        <v>Admin 4</v>
      </c>
      <c r="C238" s="229">
        <f t="shared" si="42"/>
        <v>0</v>
      </c>
      <c r="D238" s="89"/>
      <c r="E238" s="89"/>
      <c r="F238" s="168"/>
      <c r="G238" s="992">
        <f>G78*$D78</f>
        <v>0</v>
      </c>
      <c r="H238" s="992">
        <f t="shared" si="43"/>
        <v>0</v>
      </c>
      <c r="I238" s="992">
        <f t="shared" si="43"/>
        <v>0</v>
      </c>
      <c r="J238" s="992">
        <f t="shared" si="43"/>
        <v>0</v>
      </c>
      <c r="K238" s="992">
        <f t="shared" si="43"/>
        <v>0</v>
      </c>
      <c r="L238" s="992">
        <f t="shared" si="43"/>
        <v>0</v>
      </c>
      <c r="M238" s="992">
        <f t="shared" si="43"/>
        <v>0</v>
      </c>
      <c r="O238" s="541"/>
    </row>
    <row r="239" spans="1:15" outlineLevel="1">
      <c r="A239" s="740">
        <f>ROW()</f>
        <v>239</v>
      </c>
      <c r="B239" s="111" t="str">
        <f t="shared" si="44"/>
        <v>Admin 5</v>
      </c>
      <c r="C239" s="230">
        <f t="shared" si="42"/>
        <v>0</v>
      </c>
      <c r="D239" s="169"/>
      <c r="E239" s="169"/>
      <c r="F239" s="169"/>
      <c r="G239" s="993">
        <f>G79*$D79</f>
        <v>0</v>
      </c>
      <c r="H239" s="993">
        <f t="shared" si="43"/>
        <v>0</v>
      </c>
      <c r="I239" s="993">
        <f t="shared" si="43"/>
        <v>0</v>
      </c>
      <c r="J239" s="993">
        <f t="shared" si="43"/>
        <v>0</v>
      </c>
      <c r="K239" s="993">
        <f t="shared" si="43"/>
        <v>0</v>
      </c>
      <c r="L239" s="993">
        <f t="shared" si="43"/>
        <v>0</v>
      </c>
      <c r="M239" s="993">
        <f t="shared" si="43"/>
        <v>0</v>
      </c>
      <c r="O239" s="541"/>
    </row>
    <row r="240" spans="1:15" outlineLevel="1">
      <c r="A240" s="740">
        <f>ROW()</f>
        <v>240</v>
      </c>
      <c r="B240" s="82" t="s">
        <v>519</v>
      </c>
      <c r="C240" s="229">
        <f t="shared" si="42"/>
        <v>528000</v>
      </c>
      <c r="D240" s="89"/>
      <c r="E240" s="89"/>
      <c r="F240" s="89"/>
      <c r="G240" s="966">
        <f t="shared" ref="G240:M240" si="45">SUM(G235:G239)</f>
        <v>0</v>
      </c>
      <c r="H240" s="966">
        <f t="shared" si="45"/>
        <v>88000</v>
      </c>
      <c r="I240" s="966">
        <f t="shared" si="45"/>
        <v>88000</v>
      </c>
      <c r="J240" s="966">
        <f t="shared" si="45"/>
        <v>88000</v>
      </c>
      <c r="K240" s="966">
        <f t="shared" si="45"/>
        <v>88000</v>
      </c>
      <c r="L240" s="966">
        <f t="shared" si="45"/>
        <v>88000</v>
      </c>
      <c r="M240" s="966">
        <f t="shared" si="45"/>
        <v>88000</v>
      </c>
      <c r="O240" s="541"/>
    </row>
    <row r="241" spans="1:15" outlineLevel="1">
      <c r="A241" s="740">
        <f>ROW()</f>
        <v>241</v>
      </c>
      <c r="B241" s="82"/>
      <c r="C241" s="229"/>
      <c r="D241" s="89"/>
      <c r="E241" s="89"/>
      <c r="F241" s="89"/>
      <c r="G241" s="949"/>
      <c r="H241" s="949"/>
      <c r="I241" s="949"/>
      <c r="J241" s="949"/>
      <c r="K241" s="949"/>
      <c r="L241" s="949"/>
      <c r="M241" s="949"/>
      <c r="O241" s="541"/>
    </row>
    <row r="242" spans="1:15" outlineLevel="1">
      <c r="A242" s="740">
        <f>ROW()</f>
        <v>242</v>
      </c>
      <c r="B242" s="282" t="str">
        <f>$B$83</f>
        <v>Office Staff (Full-time &amp; Part-Time w/benefits)</v>
      </c>
      <c r="C242" s="230"/>
      <c r="D242" s="169"/>
      <c r="E242" s="169"/>
      <c r="F242" s="169"/>
      <c r="G242" s="1033"/>
      <c r="H242" s="1033"/>
      <c r="I242" s="1033"/>
      <c r="J242" s="1033"/>
      <c r="K242" s="1033"/>
      <c r="L242" s="1033"/>
      <c r="M242" s="1033"/>
      <c r="O242" s="541"/>
    </row>
    <row r="243" spans="1:15" outlineLevel="1">
      <c r="A243" s="740">
        <f>ROW()</f>
        <v>243</v>
      </c>
      <c r="B243" s="84" t="str">
        <f>$B84</f>
        <v>Office Manager</v>
      </c>
      <c r="C243" s="229">
        <f>SUM(G243:M243)</f>
        <v>282000</v>
      </c>
      <c r="D243" s="89"/>
      <c r="E243" s="89"/>
      <c r="F243" s="89"/>
      <c r="G243" s="992">
        <f>G84*$D84</f>
        <v>0</v>
      </c>
      <c r="H243" s="992">
        <f>(H84*$D84)</f>
        <v>47000</v>
      </c>
      <c r="I243" s="992">
        <f t="shared" ref="I243:M246" si="46">(I84*$D84)</f>
        <v>47000</v>
      </c>
      <c r="J243" s="992">
        <f t="shared" si="46"/>
        <v>47000</v>
      </c>
      <c r="K243" s="992">
        <f t="shared" si="46"/>
        <v>47000</v>
      </c>
      <c r="L243" s="992">
        <f t="shared" si="46"/>
        <v>47000</v>
      </c>
      <c r="M243" s="992">
        <f t="shared" si="46"/>
        <v>47000</v>
      </c>
      <c r="O243" s="541"/>
    </row>
    <row r="244" spans="1:15" outlineLevel="1">
      <c r="A244" s="740">
        <f>ROW()</f>
        <v>244</v>
      </c>
      <c r="B244" s="84" t="str">
        <f t="shared" ref="B244:B246" si="47">$B85</f>
        <v>Office Clerk</v>
      </c>
      <c r="C244" s="229">
        <f>SUM(G244:M244)</f>
        <v>160000</v>
      </c>
      <c r="D244" s="89"/>
      <c r="E244" s="89"/>
      <c r="F244" s="89"/>
      <c r="G244" s="992">
        <f>G85*$D85</f>
        <v>0</v>
      </c>
      <c r="H244" s="992">
        <f>(H85*$D85)</f>
        <v>0</v>
      </c>
      <c r="I244" s="992">
        <f t="shared" ref="I244:M244" si="48">(I85*$D85)</f>
        <v>0</v>
      </c>
      <c r="J244" s="992">
        <f t="shared" si="48"/>
        <v>40000</v>
      </c>
      <c r="K244" s="992">
        <f t="shared" si="48"/>
        <v>40000</v>
      </c>
      <c r="L244" s="992">
        <f t="shared" si="48"/>
        <v>40000</v>
      </c>
      <c r="M244" s="992">
        <f t="shared" si="48"/>
        <v>40000</v>
      </c>
      <c r="O244" s="541"/>
    </row>
    <row r="245" spans="1:15" outlineLevel="1">
      <c r="A245" s="740"/>
      <c r="B245" s="84" t="str">
        <f t="shared" si="47"/>
        <v>Office 3</v>
      </c>
      <c r="C245" s="229">
        <f>SUM(G245:M245)</f>
        <v>0</v>
      </c>
      <c r="D245" s="89"/>
      <c r="E245" s="89"/>
      <c r="F245" s="89"/>
      <c r="G245" s="992">
        <f>G86*$D86</f>
        <v>0</v>
      </c>
      <c r="H245" s="992">
        <f>(H86*$D86)</f>
        <v>0</v>
      </c>
      <c r="I245" s="992">
        <f t="shared" si="46"/>
        <v>0</v>
      </c>
      <c r="J245" s="992">
        <f t="shared" si="46"/>
        <v>0</v>
      </c>
      <c r="K245" s="992">
        <f t="shared" si="46"/>
        <v>0</v>
      </c>
      <c r="L245" s="992">
        <f t="shared" si="46"/>
        <v>0</v>
      </c>
      <c r="M245" s="992">
        <f t="shared" si="46"/>
        <v>0</v>
      </c>
      <c r="O245" s="541"/>
    </row>
    <row r="246" spans="1:15" outlineLevel="1">
      <c r="A246" s="740">
        <f>ROW()</f>
        <v>246</v>
      </c>
      <c r="B246" s="111" t="str">
        <f t="shared" si="47"/>
        <v>Office 4</v>
      </c>
      <c r="C246" s="230">
        <f>SUM(G246:M246)</f>
        <v>0</v>
      </c>
      <c r="D246" s="169"/>
      <c r="E246" s="169"/>
      <c r="F246" s="169"/>
      <c r="G246" s="992">
        <f>G87*$D87</f>
        <v>0</v>
      </c>
      <c r="H246" s="992">
        <f>(H87*$D87)</f>
        <v>0</v>
      </c>
      <c r="I246" s="992">
        <f t="shared" si="46"/>
        <v>0</v>
      </c>
      <c r="J246" s="992">
        <f t="shared" si="46"/>
        <v>0</v>
      </c>
      <c r="K246" s="992">
        <f t="shared" si="46"/>
        <v>0</v>
      </c>
      <c r="L246" s="992">
        <f t="shared" si="46"/>
        <v>0</v>
      </c>
      <c r="M246" s="992">
        <f t="shared" si="46"/>
        <v>0</v>
      </c>
      <c r="O246" s="541"/>
    </row>
    <row r="247" spans="1:15" outlineLevel="1">
      <c r="A247" s="740">
        <f>ROW()</f>
        <v>247</v>
      </c>
      <c r="B247" s="82" t="s">
        <v>520</v>
      </c>
      <c r="C247" s="229">
        <f>SUM(G247:M247)</f>
        <v>442000</v>
      </c>
      <c r="D247" s="89"/>
      <c r="E247" s="89"/>
      <c r="F247" s="89"/>
      <c r="G247" s="966">
        <f t="shared" ref="G247:M247" si="49">SUM(G243:G246)</f>
        <v>0</v>
      </c>
      <c r="H247" s="966">
        <f t="shared" si="49"/>
        <v>47000</v>
      </c>
      <c r="I247" s="966">
        <f t="shared" si="49"/>
        <v>47000</v>
      </c>
      <c r="J247" s="966">
        <f t="shared" si="49"/>
        <v>87000</v>
      </c>
      <c r="K247" s="966">
        <f t="shared" si="49"/>
        <v>87000</v>
      </c>
      <c r="L247" s="966">
        <f t="shared" si="49"/>
        <v>87000</v>
      </c>
      <c r="M247" s="966">
        <f t="shared" si="49"/>
        <v>87000</v>
      </c>
      <c r="O247" s="541"/>
    </row>
    <row r="248" spans="1:15" outlineLevel="1">
      <c r="A248" s="740">
        <f>ROW()</f>
        <v>248</v>
      </c>
      <c r="B248" s="84"/>
      <c r="C248" s="229"/>
      <c r="D248" s="89"/>
      <c r="E248" s="89"/>
      <c r="F248" s="89"/>
      <c r="G248" s="949"/>
      <c r="H248" s="949"/>
      <c r="I248" s="949"/>
      <c r="J248" s="949"/>
      <c r="K248" s="949"/>
      <c r="L248" s="949"/>
      <c r="M248" s="949"/>
      <c r="O248" s="541"/>
    </row>
    <row r="249" spans="1:15" outlineLevel="1">
      <c r="A249" s="740">
        <f>ROW()</f>
        <v>249</v>
      </c>
      <c r="B249" s="1461" t="str">
        <f>$B$89</f>
        <v>Total Administrators and Office Staff</v>
      </c>
      <c r="C249" s="1839">
        <f>SUM(G249:M249)</f>
        <v>970000</v>
      </c>
      <c r="D249" s="1460"/>
      <c r="E249" s="1460"/>
      <c r="F249" s="1460"/>
      <c r="G249" s="1464">
        <f t="shared" ref="G249:M249" si="50">+G240+G247</f>
        <v>0</v>
      </c>
      <c r="H249" s="1464">
        <f t="shared" si="50"/>
        <v>135000</v>
      </c>
      <c r="I249" s="1464">
        <f t="shared" si="50"/>
        <v>135000</v>
      </c>
      <c r="J249" s="1464">
        <f t="shared" si="50"/>
        <v>175000</v>
      </c>
      <c r="K249" s="1464">
        <f t="shared" si="50"/>
        <v>175000</v>
      </c>
      <c r="L249" s="1464">
        <f t="shared" si="50"/>
        <v>175000</v>
      </c>
      <c r="M249" s="1464">
        <f t="shared" si="50"/>
        <v>175000</v>
      </c>
      <c r="O249" s="541"/>
    </row>
    <row r="250" spans="1:15" outlineLevel="1">
      <c r="A250" s="740">
        <f>ROW()</f>
        <v>250</v>
      </c>
      <c r="G250" s="773"/>
      <c r="H250" s="775"/>
      <c r="I250" s="775"/>
      <c r="J250" s="775"/>
      <c r="K250" s="773"/>
      <c r="L250" s="773"/>
      <c r="M250" s="773"/>
      <c r="O250" s="541"/>
    </row>
    <row r="251" spans="1:15" outlineLevel="1">
      <c r="A251" s="740">
        <f>ROW()</f>
        <v>251</v>
      </c>
      <c r="B251" s="82"/>
      <c r="C251" s="229"/>
      <c r="D251" s="89"/>
      <c r="E251" s="89"/>
      <c r="F251" s="89"/>
      <c r="G251" s="949"/>
      <c r="H251" s="949"/>
      <c r="I251" s="949"/>
      <c r="J251" s="949"/>
      <c r="K251" s="949"/>
      <c r="L251" s="949"/>
      <c r="M251" s="949"/>
      <c r="O251" s="541"/>
    </row>
    <row r="252" spans="1:15" outlineLevel="1">
      <c r="A252" s="740">
        <f>ROW()</f>
        <v>252</v>
      </c>
      <c r="B252" s="282" t="str">
        <f>$B$91</f>
        <v>Special Education (SPED) Teachers (Full-time &amp; Part-Time w/benefits)</v>
      </c>
      <c r="C252" s="230"/>
      <c r="D252" s="169"/>
      <c r="E252" s="169"/>
      <c r="F252" s="169"/>
      <c r="G252" s="1033"/>
      <c r="H252" s="1033"/>
      <c r="I252" s="1033"/>
      <c r="J252" s="1033"/>
      <c r="K252" s="1033"/>
      <c r="L252" s="1033"/>
      <c r="M252" s="1033"/>
      <c r="O252" s="541"/>
    </row>
    <row r="253" spans="1:15" outlineLevel="1">
      <c r="A253" s="740">
        <f>ROW()</f>
        <v>253</v>
      </c>
      <c r="B253" s="271" t="str">
        <f>$B$92</f>
        <v>Special Education Teacher and Coordinator</v>
      </c>
      <c r="C253" s="229">
        <f t="shared" ref="C253:C262" si="51">SUM(G253:M253)</f>
        <v>318000</v>
      </c>
      <c r="D253" s="89"/>
      <c r="E253" s="89"/>
      <c r="F253" s="89"/>
      <c r="G253" s="992">
        <f t="shared" ref="G253:G261" si="52">G92*$D92</f>
        <v>0</v>
      </c>
      <c r="H253" s="992">
        <f t="shared" ref="H253:M261" si="53">(H92*$D92)</f>
        <v>53000</v>
      </c>
      <c r="I253" s="992">
        <f t="shared" si="53"/>
        <v>53000</v>
      </c>
      <c r="J253" s="992">
        <f t="shared" si="53"/>
        <v>53000</v>
      </c>
      <c r="K253" s="992">
        <f t="shared" si="53"/>
        <v>53000</v>
      </c>
      <c r="L253" s="992">
        <f t="shared" si="53"/>
        <v>53000</v>
      </c>
      <c r="M253" s="992">
        <f t="shared" si="53"/>
        <v>53000</v>
      </c>
      <c r="O253" s="541"/>
    </row>
    <row r="254" spans="1:15" outlineLevel="1">
      <c r="A254" s="740">
        <f>ROW()</f>
        <v>254</v>
      </c>
      <c r="B254" s="271" t="str">
        <f>$B$93</f>
        <v xml:space="preserve">Special Education Teacher </v>
      </c>
      <c r="C254" s="229">
        <f t="shared" si="51"/>
        <v>250000</v>
      </c>
      <c r="D254" s="89"/>
      <c r="E254" s="89"/>
      <c r="F254" s="89"/>
      <c r="G254" s="992">
        <f t="shared" si="52"/>
        <v>0</v>
      </c>
      <c r="H254" s="992">
        <f t="shared" si="53"/>
        <v>0</v>
      </c>
      <c r="I254" s="992">
        <f t="shared" si="53"/>
        <v>50000</v>
      </c>
      <c r="J254" s="992">
        <f t="shared" si="53"/>
        <v>50000</v>
      </c>
      <c r="K254" s="992">
        <f t="shared" si="53"/>
        <v>50000</v>
      </c>
      <c r="L254" s="992">
        <f t="shared" si="53"/>
        <v>50000</v>
      </c>
      <c r="M254" s="992">
        <f t="shared" si="53"/>
        <v>50000</v>
      </c>
      <c r="O254" s="541"/>
    </row>
    <row r="255" spans="1:15" outlineLevel="1">
      <c r="A255" s="740">
        <f>ROW()</f>
        <v>255</v>
      </c>
      <c r="B255" s="271" t="str">
        <f>$B$94</f>
        <v>Special Education Coordinator 3</v>
      </c>
      <c r="C255" s="229">
        <f t="shared" si="51"/>
        <v>0</v>
      </c>
      <c r="D255" s="89"/>
      <c r="E255" s="89"/>
      <c r="F255" s="89"/>
      <c r="G255" s="992">
        <f t="shared" si="52"/>
        <v>0</v>
      </c>
      <c r="H255" s="992">
        <f t="shared" si="53"/>
        <v>0</v>
      </c>
      <c r="I255" s="992">
        <f t="shared" si="53"/>
        <v>0</v>
      </c>
      <c r="J255" s="992">
        <f t="shared" si="53"/>
        <v>0</v>
      </c>
      <c r="K255" s="992">
        <f t="shared" si="53"/>
        <v>0</v>
      </c>
      <c r="L255" s="992">
        <f t="shared" si="53"/>
        <v>0</v>
      </c>
      <c r="M255" s="992">
        <f t="shared" si="53"/>
        <v>0</v>
      </c>
      <c r="O255" s="541"/>
    </row>
    <row r="256" spans="1:15" outlineLevel="1">
      <c r="A256" s="740">
        <f>ROW()</f>
        <v>256</v>
      </c>
      <c r="B256" s="271" t="str">
        <f>$B$95</f>
        <v>Special Education Coordinator 4</v>
      </c>
      <c r="C256" s="229">
        <f t="shared" si="51"/>
        <v>0</v>
      </c>
      <c r="D256" s="89"/>
      <c r="E256" s="89"/>
      <c r="F256" s="89"/>
      <c r="G256" s="992">
        <f t="shared" si="52"/>
        <v>0</v>
      </c>
      <c r="H256" s="992">
        <f t="shared" si="53"/>
        <v>0</v>
      </c>
      <c r="I256" s="992">
        <f t="shared" si="53"/>
        <v>0</v>
      </c>
      <c r="J256" s="992">
        <f t="shared" si="53"/>
        <v>0</v>
      </c>
      <c r="K256" s="992">
        <f t="shared" si="53"/>
        <v>0</v>
      </c>
      <c r="L256" s="992">
        <f t="shared" si="53"/>
        <v>0</v>
      </c>
      <c r="M256" s="992">
        <f t="shared" si="53"/>
        <v>0</v>
      </c>
      <c r="O256" s="541"/>
    </row>
    <row r="257" spans="1:15" outlineLevel="1">
      <c r="A257" s="740">
        <f>ROW()</f>
        <v>257</v>
      </c>
      <c r="B257" s="271" t="str">
        <f>$B$96</f>
        <v>Special Education Coordinator 5</v>
      </c>
      <c r="C257" s="229">
        <f t="shared" si="51"/>
        <v>0</v>
      </c>
      <c r="D257" s="89"/>
      <c r="E257" s="89"/>
      <c r="F257" s="89"/>
      <c r="G257" s="992">
        <f t="shared" si="52"/>
        <v>0</v>
      </c>
      <c r="H257" s="992">
        <f t="shared" si="53"/>
        <v>0</v>
      </c>
      <c r="I257" s="992">
        <f t="shared" si="53"/>
        <v>0</v>
      </c>
      <c r="J257" s="992">
        <f t="shared" si="53"/>
        <v>0</v>
      </c>
      <c r="K257" s="992">
        <f t="shared" si="53"/>
        <v>0</v>
      </c>
      <c r="L257" s="992">
        <f t="shared" si="53"/>
        <v>0</v>
      </c>
      <c r="M257" s="992">
        <f t="shared" si="53"/>
        <v>0</v>
      </c>
      <c r="O257" s="541"/>
    </row>
    <row r="258" spans="1:15" outlineLevel="1">
      <c r="A258" s="740">
        <f>ROW()</f>
        <v>258</v>
      </c>
      <c r="B258" s="271" t="str">
        <f>$B97</f>
        <v>SPED Specialist Assistant 6</v>
      </c>
      <c r="C258" s="229">
        <f t="shared" si="51"/>
        <v>0</v>
      </c>
      <c r="D258" s="89"/>
      <c r="E258" s="89"/>
      <c r="F258" s="89"/>
      <c r="G258" s="992">
        <f t="shared" si="52"/>
        <v>0</v>
      </c>
      <c r="H258" s="992">
        <f t="shared" si="53"/>
        <v>0</v>
      </c>
      <c r="I258" s="992">
        <f t="shared" si="53"/>
        <v>0</v>
      </c>
      <c r="J258" s="992">
        <f t="shared" si="53"/>
        <v>0</v>
      </c>
      <c r="K258" s="992">
        <f t="shared" si="53"/>
        <v>0</v>
      </c>
      <c r="L258" s="992">
        <f t="shared" si="53"/>
        <v>0</v>
      </c>
      <c r="M258" s="992">
        <f t="shared" si="53"/>
        <v>0</v>
      </c>
      <c r="O258" s="541"/>
    </row>
    <row r="259" spans="1:15" outlineLevel="1">
      <c r="A259" s="740">
        <f>ROW()</f>
        <v>259</v>
      </c>
      <c r="B259" s="271" t="str">
        <f>$B98</f>
        <v>SPED Specialist Assistant 7</v>
      </c>
      <c r="C259" s="229">
        <f t="shared" si="51"/>
        <v>0</v>
      </c>
      <c r="D259" s="89"/>
      <c r="E259" s="89"/>
      <c r="F259" s="89"/>
      <c r="G259" s="992">
        <f t="shared" si="52"/>
        <v>0</v>
      </c>
      <c r="H259" s="992">
        <f t="shared" si="53"/>
        <v>0</v>
      </c>
      <c r="I259" s="992">
        <f t="shared" si="53"/>
        <v>0</v>
      </c>
      <c r="J259" s="992">
        <f t="shared" si="53"/>
        <v>0</v>
      </c>
      <c r="K259" s="992">
        <f t="shared" si="53"/>
        <v>0</v>
      </c>
      <c r="L259" s="992">
        <f t="shared" si="53"/>
        <v>0</v>
      </c>
      <c r="M259" s="992">
        <f t="shared" si="53"/>
        <v>0</v>
      </c>
      <c r="O259" s="541"/>
    </row>
    <row r="260" spans="1:15" outlineLevel="1">
      <c r="A260" s="740">
        <f>ROW()</f>
        <v>260</v>
      </c>
      <c r="B260" s="271" t="str">
        <f>$B99</f>
        <v>SPED Specialist Assistant 7</v>
      </c>
      <c r="C260" s="229">
        <f t="shared" si="51"/>
        <v>0</v>
      </c>
      <c r="D260" s="89"/>
      <c r="E260" s="89"/>
      <c r="F260" s="89"/>
      <c r="G260" s="992">
        <f t="shared" si="52"/>
        <v>0</v>
      </c>
      <c r="H260" s="992">
        <f t="shared" si="53"/>
        <v>0</v>
      </c>
      <c r="I260" s="992">
        <f t="shared" si="53"/>
        <v>0</v>
      </c>
      <c r="J260" s="992">
        <f t="shared" si="53"/>
        <v>0</v>
      </c>
      <c r="K260" s="992">
        <f t="shared" si="53"/>
        <v>0</v>
      </c>
      <c r="L260" s="992">
        <f t="shared" si="53"/>
        <v>0</v>
      </c>
      <c r="M260" s="992">
        <f t="shared" si="53"/>
        <v>0</v>
      </c>
      <c r="O260" s="541"/>
    </row>
    <row r="261" spans="1:15" outlineLevel="1">
      <c r="A261" s="740">
        <f>ROW()</f>
        <v>261</v>
      </c>
      <c r="B261" s="271" t="str">
        <f>$B100</f>
        <v>SPED Specialist Assistant 7</v>
      </c>
      <c r="C261" s="229">
        <f t="shared" si="51"/>
        <v>0</v>
      </c>
      <c r="D261" s="89"/>
      <c r="E261" s="89"/>
      <c r="F261" s="89"/>
      <c r="G261" s="992">
        <f t="shared" si="52"/>
        <v>0</v>
      </c>
      <c r="H261" s="992">
        <f t="shared" si="53"/>
        <v>0</v>
      </c>
      <c r="I261" s="992">
        <f t="shared" si="53"/>
        <v>0</v>
      </c>
      <c r="J261" s="992">
        <f t="shared" si="53"/>
        <v>0</v>
      </c>
      <c r="K261" s="992">
        <f t="shared" si="53"/>
        <v>0</v>
      </c>
      <c r="L261" s="992">
        <f t="shared" si="53"/>
        <v>0</v>
      </c>
      <c r="M261" s="992">
        <f t="shared" si="53"/>
        <v>0</v>
      </c>
      <c r="O261" s="541"/>
    </row>
    <row r="262" spans="1:15" outlineLevel="1">
      <c r="A262" s="740">
        <f>ROW()</f>
        <v>262</v>
      </c>
      <c r="B262" s="1461" t="str">
        <f>$B101</f>
        <v>Total Special EducationTeachers</v>
      </c>
      <c r="C262" s="1462">
        <f t="shared" si="51"/>
        <v>568000</v>
      </c>
      <c r="D262" s="1463"/>
      <c r="E262" s="1463"/>
      <c r="F262" s="1463"/>
      <c r="G262" s="1464">
        <f t="shared" ref="G262:M262" si="54">SUM(G253:G261)</f>
        <v>0</v>
      </c>
      <c r="H262" s="1464">
        <f t="shared" si="54"/>
        <v>53000</v>
      </c>
      <c r="I262" s="1464">
        <f t="shared" si="54"/>
        <v>103000</v>
      </c>
      <c r="J262" s="1464">
        <f t="shared" si="54"/>
        <v>103000</v>
      </c>
      <c r="K262" s="1464">
        <f t="shared" si="54"/>
        <v>103000</v>
      </c>
      <c r="L262" s="1464">
        <f t="shared" si="54"/>
        <v>103000</v>
      </c>
      <c r="M262" s="1464">
        <f t="shared" si="54"/>
        <v>103000</v>
      </c>
      <c r="O262" s="541"/>
    </row>
    <row r="263" spans="1:15" outlineLevel="1">
      <c r="A263" s="740">
        <f>ROW()</f>
        <v>263</v>
      </c>
      <c r="B263" s="84"/>
      <c r="C263" s="229"/>
      <c r="D263" s="89"/>
      <c r="E263" s="89"/>
      <c r="F263" s="89"/>
      <c r="G263" s="949"/>
      <c r="H263" s="949"/>
      <c r="I263" s="949"/>
      <c r="J263" s="949"/>
      <c r="K263" s="949"/>
      <c r="L263" s="949"/>
      <c r="M263" s="949"/>
      <c r="O263" s="541"/>
    </row>
    <row r="264" spans="1:15" outlineLevel="1">
      <c r="A264" s="740">
        <f>ROW()</f>
        <v>264</v>
      </c>
      <c r="B264" s="282" t="str">
        <f t="shared" ref="B264:B274" si="55">$B103</f>
        <v>English Language Learner (ELL) Teachers (Full-time &amp; Part-Time w/benefits)</v>
      </c>
      <c r="C264" s="230"/>
      <c r="D264" s="169"/>
      <c r="E264" s="169"/>
      <c r="F264" s="169"/>
      <c r="G264" s="1033"/>
      <c r="H264" s="1033"/>
      <c r="I264" s="1033"/>
      <c r="J264" s="1033"/>
      <c r="K264" s="1033"/>
      <c r="L264" s="1033"/>
      <c r="M264" s="1033"/>
      <c r="O264" s="541"/>
    </row>
    <row r="265" spans="1:15" outlineLevel="1">
      <c r="A265" s="740">
        <f>ROW()</f>
        <v>265</v>
      </c>
      <c r="B265" s="271" t="str">
        <f t="shared" si="55"/>
        <v xml:space="preserve">ELL Teacher and Facilitator </v>
      </c>
      <c r="C265" s="229">
        <f t="shared" ref="C265:C274" si="56">SUM(G265:M265)</f>
        <v>318000</v>
      </c>
      <c r="D265" s="89"/>
      <c r="E265" s="89"/>
      <c r="F265" s="89"/>
      <c r="G265" s="992">
        <f t="shared" ref="G265:G273" si="57">G104*$D104</f>
        <v>0</v>
      </c>
      <c r="H265" s="992">
        <f t="shared" ref="H265:M273" si="58">(H104*$D104)</f>
        <v>53000</v>
      </c>
      <c r="I265" s="992">
        <f t="shared" si="58"/>
        <v>53000</v>
      </c>
      <c r="J265" s="992">
        <f t="shared" si="58"/>
        <v>53000</v>
      </c>
      <c r="K265" s="992">
        <f t="shared" si="58"/>
        <v>53000</v>
      </c>
      <c r="L265" s="992">
        <f t="shared" si="58"/>
        <v>53000</v>
      </c>
      <c r="M265" s="992">
        <f t="shared" si="58"/>
        <v>53000</v>
      </c>
      <c r="O265" s="541"/>
    </row>
    <row r="266" spans="1:15" outlineLevel="1">
      <c r="A266" s="740">
        <f>ROW()</f>
        <v>266</v>
      </c>
      <c r="B266" s="271" t="str">
        <f t="shared" si="55"/>
        <v>ELL Teacher/Reading Specialist</v>
      </c>
      <c r="C266" s="229">
        <f t="shared" si="56"/>
        <v>300000</v>
      </c>
      <c r="D266" s="89"/>
      <c r="E266" s="89"/>
      <c r="F266" s="89"/>
      <c r="G266" s="992">
        <f t="shared" si="57"/>
        <v>0</v>
      </c>
      <c r="H266" s="992">
        <f t="shared" si="58"/>
        <v>50000</v>
      </c>
      <c r="I266" s="992">
        <f t="shared" si="58"/>
        <v>50000</v>
      </c>
      <c r="J266" s="992">
        <f t="shared" si="58"/>
        <v>50000</v>
      </c>
      <c r="K266" s="992">
        <f t="shared" si="58"/>
        <v>50000</v>
      </c>
      <c r="L266" s="992">
        <f t="shared" si="58"/>
        <v>50000</v>
      </c>
      <c r="M266" s="992">
        <f t="shared" si="58"/>
        <v>50000</v>
      </c>
      <c r="O266" s="541"/>
    </row>
    <row r="267" spans="1:15" outlineLevel="1">
      <c r="A267" s="740">
        <f>ROW()</f>
        <v>267</v>
      </c>
      <c r="B267" s="271" t="str">
        <f t="shared" si="55"/>
        <v>ELL Teacher/Reading Specialist</v>
      </c>
      <c r="C267" s="229">
        <f t="shared" si="56"/>
        <v>200000</v>
      </c>
      <c r="D267" s="89"/>
      <c r="E267" s="89"/>
      <c r="F267" s="89"/>
      <c r="G267" s="992">
        <f t="shared" si="57"/>
        <v>0</v>
      </c>
      <c r="H267" s="992">
        <f t="shared" si="58"/>
        <v>0</v>
      </c>
      <c r="I267" s="992">
        <f t="shared" si="58"/>
        <v>0</v>
      </c>
      <c r="J267" s="992">
        <f t="shared" si="58"/>
        <v>50000</v>
      </c>
      <c r="K267" s="992">
        <f t="shared" si="58"/>
        <v>50000</v>
      </c>
      <c r="L267" s="992">
        <f t="shared" si="58"/>
        <v>50000</v>
      </c>
      <c r="M267" s="992">
        <f t="shared" si="58"/>
        <v>50000</v>
      </c>
      <c r="O267" s="541"/>
    </row>
    <row r="268" spans="1:15" outlineLevel="1">
      <c r="A268" s="740">
        <f>ROW()</f>
        <v>268</v>
      </c>
      <c r="B268" s="271" t="str">
        <f t="shared" si="55"/>
        <v xml:space="preserve">ELL Teacher/ Reading Specialist </v>
      </c>
      <c r="C268" s="229">
        <f t="shared" si="56"/>
        <v>150000</v>
      </c>
      <c r="D268" s="89"/>
      <c r="E268" s="89"/>
      <c r="F268" s="89"/>
      <c r="G268" s="992">
        <f t="shared" si="57"/>
        <v>0</v>
      </c>
      <c r="H268" s="992">
        <f t="shared" si="58"/>
        <v>0</v>
      </c>
      <c r="I268" s="992">
        <f t="shared" si="58"/>
        <v>0</v>
      </c>
      <c r="J268" s="992">
        <f t="shared" si="58"/>
        <v>0</v>
      </c>
      <c r="K268" s="992">
        <f t="shared" si="58"/>
        <v>50000</v>
      </c>
      <c r="L268" s="992">
        <f t="shared" si="58"/>
        <v>50000</v>
      </c>
      <c r="M268" s="992">
        <f t="shared" si="58"/>
        <v>50000</v>
      </c>
      <c r="O268" s="541"/>
    </row>
    <row r="269" spans="1:15" outlineLevel="1">
      <c r="A269" s="740">
        <f>ROW()</f>
        <v>269</v>
      </c>
      <c r="B269" s="271">
        <f t="shared" si="55"/>
        <v>0</v>
      </c>
      <c r="C269" s="229">
        <f t="shared" si="56"/>
        <v>0</v>
      </c>
      <c r="D269" s="89"/>
      <c r="E269" s="89"/>
      <c r="F269" s="89"/>
      <c r="G269" s="992">
        <f t="shared" si="57"/>
        <v>0</v>
      </c>
      <c r="H269" s="992">
        <f t="shared" si="58"/>
        <v>0</v>
      </c>
      <c r="I269" s="992">
        <f t="shared" si="58"/>
        <v>0</v>
      </c>
      <c r="J269" s="992">
        <f t="shared" si="58"/>
        <v>0</v>
      </c>
      <c r="K269" s="992">
        <f t="shared" si="58"/>
        <v>0</v>
      </c>
      <c r="L269" s="992">
        <f t="shared" si="58"/>
        <v>0</v>
      </c>
      <c r="M269" s="992">
        <f t="shared" si="58"/>
        <v>0</v>
      </c>
      <c r="O269" s="541"/>
    </row>
    <row r="270" spans="1:15" outlineLevel="1">
      <c r="A270" s="740">
        <f>ROW()</f>
        <v>270</v>
      </c>
      <c r="B270" s="271">
        <f t="shared" si="55"/>
        <v>0</v>
      </c>
      <c r="C270" s="229">
        <f t="shared" si="56"/>
        <v>0</v>
      </c>
      <c r="D270" s="89"/>
      <c r="E270" s="89"/>
      <c r="F270" s="89"/>
      <c r="G270" s="992">
        <f t="shared" si="57"/>
        <v>0</v>
      </c>
      <c r="H270" s="992">
        <f t="shared" si="58"/>
        <v>0</v>
      </c>
      <c r="I270" s="992">
        <f t="shared" si="58"/>
        <v>0</v>
      </c>
      <c r="J270" s="992">
        <f t="shared" si="58"/>
        <v>0</v>
      </c>
      <c r="K270" s="992">
        <f t="shared" si="58"/>
        <v>0</v>
      </c>
      <c r="L270" s="992">
        <f t="shared" si="58"/>
        <v>0</v>
      </c>
      <c r="M270" s="992">
        <f t="shared" si="58"/>
        <v>0</v>
      </c>
      <c r="O270" s="541"/>
    </row>
    <row r="271" spans="1:15" outlineLevel="1">
      <c r="A271" s="740">
        <f>ROW()</f>
        <v>271</v>
      </c>
      <c r="B271" s="271">
        <f t="shared" si="55"/>
        <v>0</v>
      </c>
      <c r="C271" s="229">
        <f t="shared" si="56"/>
        <v>0</v>
      </c>
      <c r="D271" s="89"/>
      <c r="E271" s="89"/>
      <c r="F271" s="89"/>
      <c r="G271" s="992">
        <f t="shared" si="57"/>
        <v>0</v>
      </c>
      <c r="H271" s="992">
        <f t="shared" si="58"/>
        <v>0</v>
      </c>
      <c r="I271" s="992">
        <f t="shared" si="58"/>
        <v>0</v>
      </c>
      <c r="J271" s="992">
        <f t="shared" si="58"/>
        <v>0</v>
      </c>
      <c r="K271" s="992">
        <f t="shared" si="58"/>
        <v>0</v>
      </c>
      <c r="L271" s="992">
        <f t="shared" si="58"/>
        <v>0</v>
      </c>
      <c r="M271" s="992">
        <f t="shared" si="58"/>
        <v>0</v>
      </c>
      <c r="O271" s="541"/>
    </row>
    <row r="272" spans="1:15" outlineLevel="1">
      <c r="A272" s="740">
        <f>ROW()</f>
        <v>272</v>
      </c>
      <c r="B272" s="271">
        <f t="shared" si="55"/>
        <v>0</v>
      </c>
      <c r="C272" s="229">
        <f t="shared" si="56"/>
        <v>0</v>
      </c>
      <c r="D272" s="89"/>
      <c r="E272" s="89"/>
      <c r="F272" s="89"/>
      <c r="G272" s="992">
        <f t="shared" si="57"/>
        <v>0</v>
      </c>
      <c r="H272" s="992">
        <f t="shared" si="58"/>
        <v>0</v>
      </c>
      <c r="I272" s="992">
        <f t="shared" si="58"/>
        <v>0</v>
      </c>
      <c r="J272" s="992">
        <f t="shared" si="58"/>
        <v>0</v>
      </c>
      <c r="K272" s="992">
        <f t="shared" si="58"/>
        <v>0</v>
      </c>
      <c r="L272" s="992">
        <f t="shared" si="58"/>
        <v>0</v>
      </c>
      <c r="M272" s="992">
        <f t="shared" si="58"/>
        <v>0</v>
      </c>
      <c r="O272" s="541"/>
    </row>
    <row r="273" spans="1:15" outlineLevel="1">
      <c r="A273" s="740">
        <f>ROW()</f>
        <v>273</v>
      </c>
      <c r="B273" s="271">
        <f t="shared" si="55"/>
        <v>0</v>
      </c>
      <c r="C273" s="229">
        <f t="shared" si="56"/>
        <v>0</v>
      </c>
      <c r="D273" s="89"/>
      <c r="E273" s="89"/>
      <c r="F273" s="89"/>
      <c r="G273" s="992">
        <f t="shared" si="57"/>
        <v>0</v>
      </c>
      <c r="H273" s="992">
        <f t="shared" si="58"/>
        <v>0</v>
      </c>
      <c r="I273" s="992">
        <f t="shared" si="58"/>
        <v>0</v>
      </c>
      <c r="J273" s="992">
        <f t="shared" si="58"/>
        <v>0</v>
      </c>
      <c r="K273" s="992">
        <f t="shared" si="58"/>
        <v>0</v>
      </c>
      <c r="L273" s="992">
        <f t="shared" si="58"/>
        <v>0</v>
      </c>
      <c r="M273" s="992">
        <f t="shared" si="58"/>
        <v>0</v>
      </c>
      <c r="O273" s="541"/>
    </row>
    <row r="274" spans="1:15" outlineLevel="1">
      <c r="A274" s="740">
        <f>ROW()</f>
        <v>274</v>
      </c>
      <c r="B274" s="1461" t="str">
        <f t="shared" si="55"/>
        <v>Total ELL Teachers</v>
      </c>
      <c r="C274" s="1462">
        <f t="shared" si="56"/>
        <v>968000</v>
      </c>
      <c r="D274" s="1460"/>
      <c r="E274" s="1460"/>
      <c r="F274" s="1460"/>
      <c r="G274" s="1464">
        <f t="shared" ref="G274:M274" si="59">SUM(G265:G273)</f>
        <v>0</v>
      </c>
      <c r="H274" s="1464">
        <f t="shared" si="59"/>
        <v>103000</v>
      </c>
      <c r="I274" s="1464">
        <f t="shared" si="59"/>
        <v>103000</v>
      </c>
      <c r="J274" s="1464">
        <f t="shared" si="59"/>
        <v>153000</v>
      </c>
      <c r="K274" s="1464">
        <f t="shared" si="59"/>
        <v>203000</v>
      </c>
      <c r="L274" s="1464">
        <f t="shared" si="59"/>
        <v>203000</v>
      </c>
      <c r="M274" s="1464">
        <f t="shared" si="59"/>
        <v>203000</v>
      </c>
      <c r="O274" s="541"/>
    </row>
    <row r="275" spans="1:15" outlineLevel="1">
      <c r="A275" s="740">
        <f>ROW()</f>
        <v>275</v>
      </c>
      <c r="B275" s="84"/>
      <c r="C275" s="229"/>
      <c r="D275" s="89"/>
      <c r="E275" s="89"/>
      <c r="F275" s="89"/>
      <c r="G275" s="949"/>
      <c r="H275" s="949"/>
      <c r="I275" s="949"/>
      <c r="J275" s="949"/>
      <c r="K275" s="949"/>
      <c r="L275" s="949"/>
      <c r="M275" s="949"/>
      <c r="O275" s="541"/>
    </row>
    <row r="276" spans="1:15" outlineLevel="1">
      <c r="A276" s="740">
        <f>ROW()</f>
        <v>276</v>
      </c>
      <c r="B276" s="282" t="str">
        <f t="shared" ref="B276:B286" si="60">$B115</f>
        <v>Guidance Counselor &amp; Other (Full-time &amp; Part-Time w/benefits)</v>
      </c>
      <c r="C276" s="230"/>
      <c r="D276" s="169"/>
      <c r="E276" s="169"/>
      <c r="F276" s="169"/>
      <c r="G276" s="1033"/>
      <c r="H276" s="1033"/>
      <c r="I276" s="1033"/>
      <c r="J276" s="1033"/>
      <c r="K276" s="1033"/>
      <c r="L276" s="1033"/>
      <c r="M276" s="1033"/>
      <c r="O276" s="541"/>
    </row>
    <row r="277" spans="1:15" outlineLevel="1">
      <c r="A277" s="740">
        <f>ROW()</f>
        <v>277</v>
      </c>
      <c r="B277" s="271" t="str">
        <f t="shared" si="60"/>
        <v xml:space="preserve">First Aid / Safety Assistant (FASA) </v>
      </c>
      <c r="C277" s="229">
        <f t="shared" ref="C277:C286" si="61">SUM(G277:M277)</f>
        <v>156000</v>
      </c>
      <c r="D277" s="89"/>
      <c r="E277" s="89"/>
      <c r="F277" s="89"/>
      <c r="G277" s="992">
        <f t="shared" ref="G277:G285" si="62">G116*$D116</f>
        <v>0</v>
      </c>
      <c r="H277" s="992">
        <f t="shared" ref="H277:M285" si="63">(H116*$D116)</f>
        <v>26000</v>
      </c>
      <c r="I277" s="992">
        <f t="shared" si="63"/>
        <v>26000</v>
      </c>
      <c r="J277" s="992">
        <f t="shared" si="63"/>
        <v>26000</v>
      </c>
      <c r="K277" s="992">
        <f t="shared" si="63"/>
        <v>26000</v>
      </c>
      <c r="L277" s="992">
        <f t="shared" si="63"/>
        <v>26000</v>
      </c>
      <c r="M277" s="992">
        <f t="shared" si="63"/>
        <v>26000</v>
      </c>
      <c r="O277" s="541"/>
    </row>
    <row r="278" spans="1:15" outlineLevel="1">
      <c r="A278" s="740">
        <f>ROW()</f>
        <v>278</v>
      </c>
      <c r="B278" s="271" t="str">
        <f t="shared" si="60"/>
        <v>Guidance Counselor</v>
      </c>
      <c r="C278" s="229">
        <f t="shared" si="61"/>
        <v>318000</v>
      </c>
      <c r="D278" s="89"/>
      <c r="E278" s="89"/>
      <c r="F278" s="89"/>
      <c r="G278" s="992">
        <f t="shared" si="62"/>
        <v>0</v>
      </c>
      <c r="H278" s="992">
        <f t="shared" si="63"/>
        <v>53000</v>
      </c>
      <c r="I278" s="992">
        <f t="shared" si="63"/>
        <v>53000</v>
      </c>
      <c r="J278" s="992">
        <f t="shared" si="63"/>
        <v>53000</v>
      </c>
      <c r="K278" s="992">
        <f t="shared" si="63"/>
        <v>53000</v>
      </c>
      <c r="L278" s="992">
        <f t="shared" si="63"/>
        <v>53000</v>
      </c>
      <c r="M278" s="992">
        <f t="shared" si="63"/>
        <v>53000</v>
      </c>
      <c r="O278" s="541"/>
    </row>
    <row r="279" spans="1:15" outlineLevel="1">
      <c r="A279" s="740">
        <f>ROW()</f>
        <v>279</v>
      </c>
      <c r="B279" s="271" t="str">
        <f t="shared" si="60"/>
        <v>Social Worker</v>
      </c>
      <c r="C279" s="229">
        <f t="shared" si="61"/>
        <v>200000</v>
      </c>
      <c r="D279" s="89"/>
      <c r="E279" s="89"/>
      <c r="F279" s="89"/>
      <c r="G279" s="992">
        <f t="shared" si="62"/>
        <v>0</v>
      </c>
      <c r="H279" s="992">
        <f t="shared" si="63"/>
        <v>0</v>
      </c>
      <c r="I279" s="992">
        <f t="shared" si="63"/>
        <v>0</v>
      </c>
      <c r="J279" s="992">
        <f t="shared" si="63"/>
        <v>50000</v>
      </c>
      <c r="K279" s="992">
        <f t="shared" si="63"/>
        <v>50000</v>
      </c>
      <c r="L279" s="992">
        <f t="shared" si="63"/>
        <v>50000</v>
      </c>
      <c r="M279" s="992">
        <f t="shared" si="63"/>
        <v>50000</v>
      </c>
      <c r="O279" s="541"/>
    </row>
    <row r="280" spans="1:15" outlineLevel="1">
      <c r="A280" s="740">
        <f>ROW()</f>
        <v>280</v>
      </c>
      <c r="B280" s="271">
        <f t="shared" si="60"/>
        <v>0</v>
      </c>
      <c r="C280" s="229">
        <f t="shared" si="61"/>
        <v>0</v>
      </c>
      <c r="D280" s="89"/>
      <c r="E280" s="89"/>
      <c r="F280" s="89"/>
      <c r="G280" s="992">
        <f t="shared" si="62"/>
        <v>0</v>
      </c>
      <c r="H280" s="992">
        <f t="shared" si="63"/>
        <v>0</v>
      </c>
      <c r="I280" s="992">
        <f t="shared" si="63"/>
        <v>0</v>
      </c>
      <c r="J280" s="992">
        <f t="shared" si="63"/>
        <v>0</v>
      </c>
      <c r="K280" s="992">
        <f t="shared" si="63"/>
        <v>0</v>
      </c>
      <c r="L280" s="992">
        <f t="shared" si="63"/>
        <v>0</v>
      </c>
      <c r="M280" s="992">
        <f t="shared" si="63"/>
        <v>0</v>
      </c>
      <c r="O280" s="541"/>
    </row>
    <row r="281" spans="1:15" outlineLevel="1">
      <c r="A281" s="740">
        <f>ROW()</f>
        <v>281</v>
      </c>
      <c r="B281" s="271">
        <f t="shared" si="60"/>
        <v>0</v>
      </c>
      <c r="C281" s="229">
        <f t="shared" si="61"/>
        <v>0</v>
      </c>
      <c r="D281" s="89"/>
      <c r="E281" s="89"/>
      <c r="F281" s="89"/>
      <c r="G281" s="992">
        <f t="shared" si="62"/>
        <v>0</v>
      </c>
      <c r="H281" s="992">
        <f t="shared" si="63"/>
        <v>0</v>
      </c>
      <c r="I281" s="992">
        <f t="shared" si="63"/>
        <v>0</v>
      </c>
      <c r="J281" s="992">
        <f t="shared" si="63"/>
        <v>0</v>
      </c>
      <c r="K281" s="992">
        <f t="shared" si="63"/>
        <v>0</v>
      </c>
      <c r="L281" s="992">
        <f t="shared" si="63"/>
        <v>0</v>
      </c>
      <c r="M281" s="992">
        <f t="shared" si="63"/>
        <v>0</v>
      </c>
      <c r="O281" s="541"/>
    </row>
    <row r="282" spans="1:15" outlineLevel="1">
      <c r="A282" s="740">
        <f>ROW()</f>
        <v>282</v>
      </c>
      <c r="B282" s="271">
        <f t="shared" si="60"/>
        <v>0</v>
      </c>
      <c r="C282" s="229">
        <f t="shared" si="61"/>
        <v>0</v>
      </c>
      <c r="D282" s="89"/>
      <c r="E282" s="89"/>
      <c r="F282" s="89"/>
      <c r="G282" s="992">
        <f t="shared" si="62"/>
        <v>0</v>
      </c>
      <c r="H282" s="992">
        <f t="shared" si="63"/>
        <v>0</v>
      </c>
      <c r="I282" s="992">
        <f t="shared" si="63"/>
        <v>0</v>
      </c>
      <c r="J282" s="992">
        <f t="shared" si="63"/>
        <v>0</v>
      </c>
      <c r="K282" s="992">
        <f t="shared" si="63"/>
        <v>0</v>
      </c>
      <c r="L282" s="992">
        <f t="shared" si="63"/>
        <v>0</v>
      </c>
      <c r="M282" s="992">
        <f t="shared" si="63"/>
        <v>0</v>
      </c>
      <c r="O282" s="541"/>
    </row>
    <row r="283" spans="1:15" outlineLevel="1">
      <c r="A283" s="740">
        <f>ROW()</f>
        <v>283</v>
      </c>
      <c r="B283" s="271">
        <f t="shared" si="60"/>
        <v>0</v>
      </c>
      <c r="C283" s="229">
        <f t="shared" si="61"/>
        <v>0</v>
      </c>
      <c r="D283" s="89"/>
      <c r="E283" s="89"/>
      <c r="F283" s="89"/>
      <c r="G283" s="992">
        <f t="shared" si="62"/>
        <v>0</v>
      </c>
      <c r="H283" s="992">
        <f t="shared" si="63"/>
        <v>0</v>
      </c>
      <c r="I283" s="992">
        <f t="shared" si="63"/>
        <v>0</v>
      </c>
      <c r="J283" s="992">
        <f t="shared" si="63"/>
        <v>0</v>
      </c>
      <c r="K283" s="992">
        <f t="shared" si="63"/>
        <v>0</v>
      </c>
      <c r="L283" s="992">
        <f t="shared" si="63"/>
        <v>0</v>
      </c>
      <c r="M283" s="992">
        <f t="shared" si="63"/>
        <v>0</v>
      </c>
      <c r="O283" s="541"/>
    </row>
    <row r="284" spans="1:15" outlineLevel="1">
      <c r="A284" s="740">
        <f>ROW()</f>
        <v>284</v>
      </c>
      <c r="B284" s="271">
        <f t="shared" si="60"/>
        <v>0</v>
      </c>
      <c r="C284" s="229">
        <f t="shared" si="61"/>
        <v>0</v>
      </c>
      <c r="D284" s="89"/>
      <c r="E284" s="89"/>
      <c r="F284" s="89"/>
      <c r="G284" s="992">
        <f t="shared" si="62"/>
        <v>0</v>
      </c>
      <c r="H284" s="992">
        <f t="shared" si="63"/>
        <v>0</v>
      </c>
      <c r="I284" s="992">
        <f t="shared" si="63"/>
        <v>0</v>
      </c>
      <c r="J284" s="992">
        <f t="shared" si="63"/>
        <v>0</v>
      </c>
      <c r="K284" s="992">
        <f t="shared" si="63"/>
        <v>0</v>
      </c>
      <c r="L284" s="992">
        <f t="shared" si="63"/>
        <v>0</v>
      </c>
      <c r="M284" s="992">
        <f t="shared" si="63"/>
        <v>0</v>
      </c>
      <c r="O284" s="541"/>
    </row>
    <row r="285" spans="1:15" outlineLevel="1">
      <c r="A285" s="740">
        <f>ROW()</f>
        <v>285</v>
      </c>
      <c r="B285" s="271">
        <f t="shared" si="60"/>
        <v>0</v>
      </c>
      <c r="C285" s="229">
        <f t="shared" si="61"/>
        <v>0</v>
      </c>
      <c r="D285" s="89"/>
      <c r="E285" s="89"/>
      <c r="F285" s="89"/>
      <c r="G285" s="992">
        <f t="shared" si="62"/>
        <v>0</v>
      </c>
      <c r="H285" s="992">
        <f t="shared" si="63"/>
        <v>0</v>
      </c>
      <c r="I285" s="992">
        <f t="shared" si="63"/>
        <v>0</v>
      </c>
      <c r="J285" s="992">
        <f t="shared" si="63"/>
        <v>0</v>
      </c>
      <c r="K285" s="992">
        <f t="shared" si="63"/>
        <v>0</v>
      </c>
      <c r="L285" s="992">
        <f t="shared" si="63"/>
        <v>0</v>
      </c>
      <c r="M285" s="992">
        <f t="shared" si="63"/>
        <v>0</v>
      </c>
      <c r="O285" s="541"/>
    </row>
    <row r="286" spans="1:15" outlineLevel="1">
      <c r="A286" s="740">
        <f>ROW()</f>
        <v>286</v>
      </c>
      <c r="B286" s="1465" t="str">
        <f t="shared" si="60"/>
        <v>Total Guidance Counselors/Other</v>
      </c>
      <c r="C286" s="1462">
        <f t="shared" si="61"/>
        <v>674000</v>
      </c>
      <c r="D286" s="1463"/>
      <c r="E286" s="1463"/>
      <c r="F286" s="1463"/>
      <c r="G286" s="1464">
        <f t="shared" ref="G286:H286" si="64">SUM(G277:G285)</f>
        <v>0</v>
      </c>
      <c r="H286" s="1464">
        <f t="shared" si="64"/>
        <v>79000</v>
      </c>
      <c r="I286" s="1464">
        <f t="shared" ref="I286:M286" si="65">SUM(I277:I285)</f>
        <v>79000</v>
      </c>
      <c r="J286" s="1464">
        <f t="shared" si="65"/>
        <v>129000</v>
      </c>
      <c r="K286" s="1464">
        <f t="shared" si="65"/>
        <v>129000</v>
      </c>
      <c r="L286" s="1464">
        <f t="shared" si="65"/>
        <v>129000</v>
      </c>
      <c r="M286" s="1464">
        <f t="shared" si="65"/>
        <v>129000</v>
      </c>
      <c r="O286" s="541"/>
    </row>
    <row r="287" spans="1:15" outlineLevel="1">
      <c r="A287" s="740">
        <f>ROW()</f>
        <v>287</v>
      </c>
      <c r="B287" s="84"/>
      <c r="C287" s="89"/>
      <c r="D287" s="89"/>
      <c r="E287" s="89"/>
      <c r="F287" s="89"/>
      <c r="G287" s="949"/>
      <c r="H287" s="949"/>
      <c r="I287" s="949"/>
      <c r="J287" s="949"/>
      <c r="K287" s="949"/>
      <c r="L287" s="949"/>
      <c r="M287" s="949"/>
      <c r="O287" s="541"/>
    </row>
    <row r="288" spans="1:15" outlineLevel="1">
      <c r="A288" s="740">
        <f>ROW()</f>
        <v>288</v>
      </c>
      <c r="B288" s="299" t="str">
        <f>$B134</f>
        <v>Grade Level Teacher</v>
      </c>
      <c r="C288" s="173">
        <f t="shared" ref="C288:C319" si="66">SUM(G288:M288)</f>
        <v>0</v>
      </c>
      <c r="D288" s="173"/>
      <c r="E288" s="173"/>
      <c r="F288" s="173"/>
      <c r="G288" s="992">
        <f>G134*$E134</f>
        <v>0</v>
      </c>
      <c r="H288" s="992">
        <f t="shared" ref="H288:M290" si="67">(H134*$E134)</f>
        <v>0</v>
      </c>
      <c r="I288" s="992">
        <f t="shared" si="67"/>
        <v>0</v>
      </c>
      <c r="J288" s="992">
        <f t="shared" si="67"/>
        <v>0</v>
      </c>
      <c r="K288" s="992">
        <f t="shared" si="67"/>
        <v>0</v>
      </c>
      <c r="L288" s="992">
        <f t="shared" si="67"/>
        <v>0</v>
      </c>
      <c r="M288" s="992">
        <f t="shared" si="67"/>
        <v>0</v>
      </c>
      <c r="N288" s="171"/>
      <c r="O288" s="541"/>
    </row>
    <row r="289" spans="1:15" outlineLevel="1">
      <c r="A289" s="740">
        <f>ROW()</f>
        <v>289</v>
      </c>
      <c r="B289" s="299" t="str">
        <f>$B135</f>
        <v>Grade Level Teacher</v>
      </c>
      <c r="C289" s="173">
        <f t="shared" si="66"/>
        <v>0</v>
      </c>
      <c r="D289" s="173"/>
      <c r="E289" s="173"/>
      <c r="F289" s="173"/>
      <c r="G289" s="992">
        <f>G135*$E135</f>
        <v>0</v>
      </c>
      <c r="H289" s="992">
        <f t="shared" si="67"/>
        <v>0</v>
      </c>
      <c r="I289" s="992">
        <f t="shared" si="67"/>
        <v>0</v>
      </c>
      <c r="J289" s="992">
        <f t="shared" si="67"/>
        <v>0</v>
      </c>
      <c r="K289" s="992">
        <f t="shared" si="67"/>
        <v>0</v>
      </c>
      <c r="L289" s="992">
        <f t="shared" si="67"/>
        <v>0</v>
      </c>
      <c r="M289" s="992">
        <f t="shared" si="67"/>
        <v>0</v>
      </c>
      <c r="N289" s="171"/>
      <c r="O289" s="541"/>
    </row>
    <row r="290" spans="1:15" outlineLevel="1">
      <c r="A290" s="740">
        <f>ROW()</f>
        <v>290</v>
      </c>
      <c r="B290" s="299" t="str">
        <f>$B136</f>
        <v>Grade Level Teacher</v>
      </c>
      <c r="C290" s="173">
        <f t="shared" si="66"/>
        <v>0</v>
      </c>
      <c r="D290" s="173"/>
      <c r="E290" s="173"/>
      <c r="F290" s="173"/>
      <c r="G290" s="992">
        <f>G136*$E136</f>
        <v>0</v>
      </c>
      <c r="H290" s="992">
        <f t="shared" si="67"/>
        <v>0</v>
      </c>
      <c r="I290" s="992">
        <f t="shared" si="67"/>
        <v>0</v>
      </c>
      <c r="J290" s="992">
        <f t="shared" si="67"/>
        <v>0</v>
      </c>
      <c r="K290" s="992">
        <f t="shared" si="67"/>
        <v>0</v>
      </c>
      <c r="L290" s="992">
        <f t="shared" si="67"/>
        <v>0</v>
      </c>
      <c r="M290" s="992">
        <f t="shared" si="67"/>
        <v>0</v>
      </c>
      <c r="N290" s="171"/>
      <c r="O290" s="541"/>
    </row>
    <row r="291" spans="1:15" outlineLevel="1">
      <c r="A291" s="740">
        <f>ROW()</f>
        <v>291</v>
      </c>
      <c r="B291" s="299"/>
      <c r="C291" s="173">
        <f t="shared" si="66"/>
        <v>0</v>
      </c>
      <c r="D291" s="173"/>
      <c r="E291" s="173"/>
      <c r="F291" s="173"/>
      <c r="G291" s="992"/>
      <c r="H291" s="992"/>
      <c r="I291" s="992"/>
      <c r="J291" s="992"/>
      <c r="K291" s="992"/>
      <c r="L291" s="992"/>
      <c r="M291" s="992"/>
      <c r="N291" s="171"/>
      <c r="O291" s="541"/>
    </row>
    <row r="292" spans="1:15" outlineLevel="1">
      <c r="A292" s="740">
        <f>ROW()</f>
        <v>292</v>
      </c>
      <c r="B292" s="299" t="str">
        <f>$B138</f>
        <v>Kindergarten Teacher</v>
      </c>
      <c r="C292" s="173">
        <f t="shared" si="66"/>
        <v>900000</v>
      </c>
      <c r="D292" s="173"/>
      <c r="E292" s="173"/>
      <c r="F292" s="173"/>
      <c r="G292" s="992">
        <f>G138*$E138</f>
        <v>0</v>
      </c>
      <c r="H292" s="992">
        <f t="shared" ref="H292:M296" si="68">(H138*$E138)</f>
        <v>150000</v>
      </c>
      <c r="I292" s="992">
        <f t="shared" si="68"/>
        <v>150000</v>
      </c>
      <c r="J292" s="992">
        <f t="shared" si="68"/>
        <v>150000</v>
      </c>
      <c r="K292" s="992">
        <f t="shared" si="68"/>
        <v>150000</v>
      </c>
      <c r="L292" s="992">
        <f t="shared" si="68"/>
        <v>150000</v>
      </c>
      <c r="M292" s="992">
        <f t="shared" si="68"/>
        <v>150000</v>
      </c>
      <c r="N292" s="171"/>
      <c r="O292" s="541"/>
    </row>
    <row r="293" spans="1:15" outlineLevel="1">
      <c r="A293" s="740">
        <f>ROW()</f>
        <v>293</v>
      </c>
      <c r="B293" s="299" t="str">
        <f>$B139</f>
        <v>Kindergarten Teacher</v>
      </c>
      <c r="C293" s="173">
        <f t="shared" si="66"/>
        <v>0</v>
      </c>
      <c r="D293" s="173"/>
      <c r="E293" s="173"/>
      <c r="F293" s="173"/>
      <c r="G293" s="992">
        <f>G139*$E139</f>
        <v>0</v>
      </c>
      <c r="H293" s="992">
        <f t="shared" si="68"/>
        <v>0</v>
      </c>
      <c r="I293" s="992">
        <f t="shared" si="68"/>
        <v>0</v>
      </c>
      <c r="J293" s="992">
        <f t="shared" si="68"/>
        <v>0</v>
      </c>
      <c r="K293" s="992">
        <f t="shared" si="68"/>
        <v>0</v>
      </c>
      <c r="L293" s="992">
        <f t="shared" si="68"/>
        <v>0</v>
      </c>
      <c r="M293" s="992">
        <f t="shared" si="68"/>
        <v>0</v>
      </c>
      <c r="N293" s="171"/>
      <c r="O293" s="541"/>
    </row>
    <row r="294" spans="1:15" outlineLevel="1">
      <c r="A294" s="740">
        <f>ROW()</f>
        <v>294</v>
      </c>
      <c r="B294" s="299" t="str">
        <f>$B140</f>
        <v>Kindergarten Teacher</v>
      </c>
      <c r="C294" s="173">
        <f t="shared" si="66"/>
        <v>0</v>
      </c>
      <c r="D294" s="173"/>
      <c r="E294" s="173"/>
      <c r="F294" s="173"/>
      <c r="G294" s="992">
        <f>G140*$E140</f>
        <v>0</v>
      </c>
      <c r="H294" s="992">
        <f t="shared" si="68"/>
        <v>0</v>
      </c>
      <c r="I294" s="992">
        <f t="shared" si="68"/>
        <v>0</v>
      </c>
      <c r="J294" s="992">
        <f t="shared" si="68"/>
        <v>0</v>
      </c>
      <c r="K294" s="992">
        <f t="shared" si="68"/>
        <v>0</v>
      </c>
      <c r="L294" s="992">
        <f t="shared" si="68"/>
        <v>0</v>
      </c>
      <c r="M294" s="992">
        <f t="shared" si="68"/>
        <v>0</v>
      </c>
      <c r="N294" s="171"/>
      <c r="O294" s="541"/>
    </row>
    <row r="295" spans="1:15" outlineLevel="1">
      <c r="A295" s="740">
        <f>ROW()</f>
        <v>295</v>
      </c>
      <c r="B295" s="299" t="str">
        <f>$B141</f>
        <v>Kindergarten Teacher</v>
      </c>
      <c r="C295" s="173">
        <f t="shared" si="66"/>
        <v>0</v>
      </c>
      <c r="D295" s="173"/>
      <c r="E295" s="173"/>
      <c r="F295" s="173"/>
      <c r="G295" s="992">
        <f>G141*$E141</f>
        <v>0</v>
      </c>
      <c r="H295" s="992">
        <f t="shared" si="68"/>
        <v>0</v>
      </c>
      <c r="I295" s="992">
        <f t="shared" si="68"/>
        <v>0</v>
      </c>
      <c r="J295" s="992">
        <f t="shared" si="68"/>
        <v>0</v>
      </c>
      <c r="K295" s="992">
        <f t="shared" si="68"/>
        <v>0</v>
      </c>
      <c r="L295" s="992">
        <f t="shared" si="68"/>
        <v>0</v>
      </c>
      <c r="M295" s="992">
        <f t="shared" si="68"/>
        <v>0</v>
      </c>
      <c r="N295" s="171"/>
      <c r="O295" s="541"/>
    </row>
    <row r="296" spans="1:15" outlineLevel="1">
      <c r="A296" s="740">
        <f>ROW()</f>
        <v>296</v>
      </c>
      <c r="B296" s="299">
        <f>$B142</f>
        <v>0</v>
      </c>
      <c r="C296" s="173">
        <f t="shared" si="66"/>
        <v>0</v>
      </c>
      <c r="D296" s="173"/>
      <c r="E296" s="173"/>
      <c r="F296" s="173"/>
      <c r="G296" s="992">
        <f>G142*$E142</f>
        <v>0</v>
      </c>
      <c r="H296" s="992">
        <f t="shared" si="68"/>
        <v>0</v>
      </c>
      <c r="I296" s="992">
        <f t="shared" si="68"/>
        <v>0</v>
      </c>
      <c r="J296" s="992">
        <f t="shared" si="68"/>
        <v>0</v>
      </c>
      <c r="K296" s="992">
        <f t="shared" si="68"/>
        <v>0</v>
      </c>
      <c r="L296" s="992">
        <f t="shared" si="68"/>
        <v>0</v>
      </c>
      <c r="M296" s="992">
        <f t="shared" si="68"/>
        <v>0</v>
      </c>
      <c r="N296" s="174"/>
      <c r="O296" s="541"/>
    </row>
    <row r="297" spans="1:15" outlineLevel="1">
      <c r="A297" s="740">
        <f>ROW()</f>
        <v>297</v>
      </c>
      <c r="B297" s="299"/>
      <c r="C297" s="173">
        <f t="shared" si="66"/>
        <v>0</v>
      </c>
      <c r="D297" s="173"/>
      <c r="E297" s="173"/>
      <c r="F297" s="173"/>
      <c r="G297" s="992"/>
      <c r="H297" s="992"/>
      <c r="I297" s="992"/>
      <c r="J297" s="992"/>
      <c r="K297" s="992"/>
      <c r="L297" s="992"/>
      <c r="M297" s="992"/>
      <c r="N297" s="174"/>
      <c r="O297" s="541"/>
    </row>
    <row r="298" spans="1:15" outlineLevel="1">
      <c r="A298" s="740">
        <f>ROW()</f>
        <v>298</v>
      </c>
      <c r="B298" s="299" t="str">
        <f>$B144</f>
        <v>1st Grade Teacher</v>
      </c>
      <c r="C298" s="173">
        <f t="shared" si="66"/>
        <v>900000</v>
      </c>
      <c r="D298" s="173"/>
      <c r="E298" s="173"/>
      <c r="F298" s="173"/>
      <c r="G298" s="992">
        <f>G144*$E144</f>
        <v>0</v>
      </c>
      <c r="H298" s="992">
        <f t="shared" ref="H298:M302" si="69">(H144*$E144)</f>
        <v>150000</v>
      </c>
      <c r="I298" s="992">
        <f t="shared" si="69"/>
        <v>150000</v>
      </c>
      <c r="J298" s="992">
        <f t="shared" si="69"/>
        <v>150000</v>
      </c>
      <c r="K298" s="992">
        <f t="shared" si="69"/>
        <v>150000</v>
      </c>
      <c r="L298" s="992">
        <f t="shared" si="69"/>
        <v>150000</v>
      </c>
      <c r="M298" s="992">
        <f t="shared" si="69"/>
        <v>150000</v>
      </c>
      <c r="N298" s="171"/>
      <c r="O298" s="541"/>
    </row>
    <row r="299" spans="1:15" outlineLevel="1">
      <c r="A299" s="740">
        <f>ROW()</f>
        <v>299</v>
      </c>
      <c r="B299" s="299" t="str">
        <f>$B145</f>
        <v>1st Grade Teacher</v>
      </c>
      <c r="C299" s="173">
        <f t="shared" si="66"/>
        <v>0</v>
      </c>
      <c r="D299" s="173"/>
      <c r="E299" s="173"/>
      <c r="F299" s="173"/>
      <c r="G299" s="992">
        <f>G145*$E145</f>
        <v>0</v>
      </c>
      <c r="H299" s="992">
        <f t="shared" si="69"/>
        <v>0</v>
      </c>
      <c r="I299" s="992">
        <f t="shared" si="69"/>
        <v>0</v>
      </c>
      <c r="J299" s="992">
        <f t="shared" si="69"/>
        <v>0</v>
      </c>
      <c r="K299" s="992">
        <f t="shared" si="69"/>
        <v>0</v>
      </c>
      <c r="L299" s="992">
        <f t="shared" si="69"/>
        <v>0</v>
      </c>
      <c r="M299" s="992">
        <f t="shared" si="69"/>
        <v>0</v>
      </c>
      <c r="N299" s="171"/>
      <c r="O299" s="541"/>
    </row>
    <row r="300" spans="1:15" outlineLevel="1">
      <c r="A300" s="740">
        <f>ROW()</f>
        <v>300</v>
      </c>
      <c r="B300" s="299" t="str">
        <f>$B146</f>
        <v>1st Grade Teacher</v>
      </c>
      <c r="C300" s="173">
        <f t="shared" si="66"/>
        <v>0</v>
      </c>
      <c r="D300" s="173"/>
      <c r="E300" s="173"/>
      <c r="F300" s="173"/>
      <c r="G300" s="992">
        <f>G146*$E146</f>
        <v>0</v>
      </c>
      <c r="H300" s="992">
        <f t="shared" si="69"/>
        <v>0</v>
      </c>
      <c r="I300" s="992">
        <f t="shared" si="69"/>
        <v>0</v>
      </c>
      <c r="J300" s="992">
        <f t="shared" si="69"/>
        <v>0</v>
      </c>
      <c r="K300" s="992">
        <f t="shared" si="69"/>
        <v>0</v>
      </c>
      <c r="L300" s="992">
        <f t="shared" si="69"/>
        <v>0</v>
      </c>
      <c r="M300" s="992">
        <f t="shared" si="69"/>
        <v>0</v>
      </c>
      <c r="N300" s="171"/>
      <c r="O300" s="541"/>
    </row>
    <row r="301" spans="1:15" outlineLevel="1">
      <c r="A301" s="740">
        <f>ROW()</f>
        <v>301</v>
      </c>
      <c r="B301" s="299" t="str">
        <f>$B147</f>
        <v>1st Grade Teacher</v>
      </c>
      <c r="C301" s="173">
        <f t="shared" si="66"/>
        <v>0</v>
      </c>
      <c r="D301" s="173"/>
      <c r="E301" s="173"/>
      <c r="F301" s="173"/>
      <c r="G301" s="992">
        <f>G147*$E147</f>
        <v>0</v>
      </c>
      <c r="H301" s="992">
        <f t="shared" si="69"/>
        <v>0</v>
      </c>
      <c r="I301" s="992">
        <f t="shared" si="69"/>
        <v>0</v>
      </c>
      <c r="J301" s="992">
        <f t="shared" si="69"/>
        <v>0</v>
      </c>
      <c r="K301" s="992">
        <f t="shared" si="69"/>
        <v>0</v>
      </c>
      <c r="L301" s="992">
        <f t="shared" si="69"/>
        <v>0</v>
      </c>
      <c r="M301" s="992">
        <f t="shared" si="69"/>
        <v>0</v>
      </c>
      <c r="N301" s="171"/>
      <c r="O301" s="541"/>
    </row>
    <row r="302" spans="1:15" outlineLevel="1">
      <c r="A302" s="740">
        <f>ROW()</f>
        <v>302</v>
      </c>
      <c r="B302" s="299">
        <f>$B148</f>
        <v>0</v>
      </c>
      <c r="C302" s="173">
        <f t="shared" si="66"/>
        <v>0</v>
      </c>
      <c r="D302" s="173"/>
      <c r="E302" s="173"/>
      <c r="F302" s="173"/>
      <c r="G302" s="992">
        <f>G148*$E148</f>
        <v>0</v>
      </c>
      <c r="H302" s="992">
        <f t="shared" si="69"/>
        <v>0</v>
      </c>
      <c r="I302" s="992">
        <f t="shared" si="69"/>
        <v>0</v>
      </c>
      <c r="J302" s="992">
        <f t="shared" si="69"/>
        <v>0</v>
      </c>
      <c r="K302" s="992">
        <f t="shared" si="69"/>
        <v>0</v>
      </c>
      <c r="L302" s="992">
        <f t="shared" si="69"/>
        <v>0</v>
      </c>
      <c r="M302" s="992">
        <f t="shared" si="69"/>
        <v>0</v>
      </c>
      <c r="N302" s="171"/>
      <c r="O302" s="541"/>
    </row>
    <row r="303" spans="1:15" outlineLevel="1">
      <c r="A303" s="740">
        <f>ROW()</f>
        <v>303</v>
      </c>
      <c r="B303" s="299"/>
      <c r="C303" s="173">
        <f t="shared" si="66"/>
        <v>0</v>
      </c>
      <c r="D303" s="173"/>
      <c r="E303" s="173"/>
      <c r="F303" s="173"/>
      <c r="G303" s="992"/>
      <c r="H303" s="992"/>
      <c r="I303" s="992"/>
      <c r="J303" s="992"/>
      <c r="K303" s="992"/>
      <c r="L303" s="992"/>
      <c r="M303" s="992"/>
      <c r="N303" s="171"/>
      <c r="O303" s="541"/>
    </row>
    <row r="304" spans="1:15" outlineLevel="1">
      <c r="A304" s="740">
        <f>ROW()</f>
        <v>304</v>
      </c>
      <c r="B304" s="299" t="str">
        <f>$B150</f>
        <v>2nd Grade Teacher</v>
      </c>
      <c r="C304" s="173">
        <f t="shared" si="66"/>
        <v>900000</v>
      </c>
      <c r="D304" s="173"/>
      <c r="E304" s="173"/>
      <c r="F304" s="173"/>
      <c r="G304" s="992">
        <f>G150*$E150</f>
        <v>0</v>
      </c>
      <c r="H304" s="992">
        <f t="shared" ref="H304:M308" si="70">(H150*$E150)</f>
        <v>150000</v>
      </c>
      <c r="I304" s="992">
        <f t="shared" si="70"/>
        <v>150000</v>
      </c>
      <c r="J304" s="992">
        <f t="shared" si="70"/>
        <v>150000</v>
      </c>
      <c r="K304" s="992">
        <f t="shared" si="70"/>
        <v>150000</v>
      </c>
      <c r="L304" s="992">
        <f t="shared" si="70"/>
        <v>150000</v>
      </c>
      <c r="M304" s="992">
        <f t="shared" si="70"/>
        <v>150000</v>
      </c>
      <c r="N304" s="171"/>
      <c r="O304" s="541"/>
    </row>
    <row r="305" spans="1:15" outlineLevel="1">
      <c r="A305" s="740">
        <f>ROW()</f>
        <v>305</v>
      </c>
      <c r="B305" s="299" t="str">
        <f>$B151</f>
        <v>2nd Grade Teacher</v>
      </c>
      <c r="C305" s="173">
        <f t="shared" si="66"/>
        <v>0</v>
      </c>
      <c r="D305" s="173"/>
      <c r="E305" s="173"/>
      <c r="F305" s="173"/>
      <c r="G305" s="992">
        <f>G151*$E151</f>
        <v>0</v>
      </c>
      <c r="H305" s="992">
        <f t="shared" si="70"/>
        <v>0</v>
      </c>
      <c r="I305" s="992">
        <f t="shared" si="70"/>
        <v>0</v>
      </c>
      <c r="J305" s="992">
        <f t="shared" si="70"/>
        <v>0</v>
      </c>
      <c r="K305" s="992">
        <f t="shared" si="70"/>
        <v>0</v>
      </c>
      <c r="L305" s="992">
        <f t="shared" si="70"/>
        <v>0</v>
      </c>
      <c r="M305" s="992">
        <f t="shared" si="70"/>
        <v>0</v>
      </c>
      <c r="N305" s="171"/>
      <c r="O305" s="541"/>
    </row>
    <row r="306" spans="1:15" outlineLevel="1">
      <c r="A306" s="740">
        <f>ROW()</f>
        <v>306</v>
      </c>
      <c r="B306" s="299" t="str">
        <f>$B152</f>
        <v>2nd Grade Teacher</v>
      </c>
      <c r="C306" s="173">
        <f t="shared" si="66"/>
        <v>0</v>
      </c>
      <c r="D306" s="173"/>
      <c r="E306" s="173"/>
      <c r="F306" s="173"/>
      <c r="G306" s="992">
        <f>G152*$E152</f>
        <v>0</v>
      </c>
      <c r="H306" s="992">
        <f t="shared" si="70"/>
        <v>0</v>
      </c>
      <c r="I306" s="992">
        <f t="shared" si="70"/>
        <v>0</v>
      </c>
      <c r="J306" s="992">
        <f t="shared" si="70"/>
        <v>0</v>
      </c>
      <c r="K306" s="992">
        <f t="shared" si="70"/>
        <v>0</v>
      </c>
      <c r="L306" s="992">
        <f t="shared" si="70"/>
        <v>0</v>
      </c>
      <c r="M306" s="992">
        <f t="shared" si="70"/>
        <v>0</v>
      </c>
      <c r="N306" s="171"/>
      <c r="O306" s="541"/>
    </row>
    <row r="307" spans="1:15" outlineLevel="1">
      <c r="A307" s="740">
        <f>ROW()</f>
        <v>307</v>
      </c>
      <c r="B307" s="299" t="str">
        <f>$B153</f>
        <v>2nd Grade Teacher</v>
      </c>
      <c r="C307" s="173">
        <f t="shared" si="66"/>
        <v>0</v>
      </c>
      <c r="D307" s="173"/>
      <c r="E307" s="173"/>
      <c r="F307" s="173"/>
      <c r="G307" s="992">
        <f>G153*$E153</f>
        <v>0</v>
      </c>
      <c r="H307" s="992">
        <f t="shared" si="70"/>
        <v>0</v>
      </c>
      <c r="I307" s="992">
        <f t="shared" si="70"/>
        <v>0</v>
      </c>
      <c r="J307" s="992">
        <f t="shared" si="70"/>
        <v>0</v>
      </c>
      <c r="K307" s="992">
        <f t="shared" si="70"/>
        <v>0</v>
      </c>
      <c r="L307" s="992">
        <f t="shared" si="70"/>
        <v>0</v>
      </c>
      <c r="M307" s="992">
        <f t="shared" si="70"/>
        <v>0</v>
      </c>
      <c r="N307" s="171"/>
      <c r="O307" s="541"/>
    </row>
    <row r="308" spans="1:15" outlineLevel="1">
      <c r="A308" s="740">
        <f>ROW()</f>
        <v>308</v>
      </c>
      <c r="B308" s="299">
        <f>$B154</f>
        <v>0</v>
      </c>
      <c r="C308" s="173">
        <f t="shared" si="66"/>
        <v>0</v>
      </c>
      <c r="D308" s="173"/>
      <c r="E308" s="173"/>
      <c r="F308" s="173"/>
      <c r="G308" s="992">
        <f>G154*$E154</f>
        <v>0</v>
      </c>
      <c r="H308" s="992">
        <f t="shared" si="70"/>
        <v>0</v>
      </c>
      <c r="I308" s="992">
        <f t="shared" si="70"/>
        <v>0</v>
      </c>
      <c r="J308" s="992">
        <f t="shared" si="70"/>
        <v>0</v>
      </c>
      <c r="K308" s="992">
        <f t="shared" si="70"/>
        <v>0</v>
      </c>
      <c r="L308" s="992">
        <f t="shared" si="70"/>
        <v>0</v>
      </c>
      <c r="M308" s="992">
        <f t="shared" si="70"/>
        <v>0</v>
      </c>
      <c r="N308" s="174"/>
      <c r="O308" s="541"/>
    </row>
    <row r="309" spans="1:15" outlineLevel="1">
      <c r="A309" s="740">
        <f>ROW()</f>
        <v>309</v>
      </c>
      <c r="B309" s="299"/>
      <c r="C309" s="173">
        <f t="shared" si="66"/>
        <v>0</v>
      </c>
      <c r="D309" s="173"/>
      <c r="E309" s="173"/>
      <c r="F309" s="173"/>
      <c r="G309" s="992"/>
      <c r="H309" s="992"/>
      <c r="I309" s="992"/>
      <c r="J309" s="992"/>
      <c r="K309" s="992"/>
      <c r="L309" s="992"/>
      <c r="M309" s="992"/>
      <c r="N309" s="174"/>
      <c r="O309" s="541"/>
    </row>
    <row r="310" spans="1:15" outlineLevel="1">
      <c r="A310" s="740">
        <f>ROW()</f>
        <v>310</v>
      </c>
      <c r="B310" s="299" t="str">
        <f>$B156</f>
        <v>3rd Grade Teacher</v>
      </c>
      <c r="C310" s="173">
        <f t="shared" si="66"/>
        <v>750000</v>
      </c>
      <c r="D310" s="173"/>
      <c r="E310" s="173"/>
      <c r="F310" s="173"/>
      <c r="G310" s="992">
        <f>G156*$E156</f>
        <v>0</v>
      </c>
      <c r="H310" s="992">
        <f t="shared" ref="H310:M314" si="71">(H156*$E156)</f>
        <v>0</v>
      </c>
      <c r="I310" s="992">
        <f t="shared" si="71"/>
        <v>150000</v>
      </c>
      <c r="J310" s="992">
        <f t="shared" si="71"/>
        <v>150000</v>
      </c>
      <c r="K310" s="992">
        <f t="shared" si="71"/>
        <v>150000</v>
      </c>
      <c r="L310" s="992">
        <f t="shared" si="71"/>
        <v>150000</v>
      </c>
      <c r="M310" s="992">
        <f t="shared" si="71"/>
        <v>150000</v>
      </c>
      <c r="N310" s="171"/>
      <c r="O310" s="541"/>
    </row>
    <row r="311" spans="1:15" outlineLevel="1">
      <c r="A311" s="740">
        <f>ROW()</f>
        <v>311</v>
      </c>
      <c r="B311" s="299" t="str">
        <f>$B157</f>
        <v>3rd Grade Teacher</v>
      </c>
      <c r="C311" s="173">
        <f t="shared" si="66"/>
        <v>0</v>
      </c>
      <c r="D311" s="173"/>
      <c r="E311" s="173"/>
      <c r="F311" s="173"/>
      <c r="G311" s="992">
        <f>G157*$E157</f>
        <v>0</v>
      </c>
      <c r="H311" s="992">
        <f t="shared" si="71"/>
        <v>0</v>
      </c>
      <c r="I311" s="992">
        <f t="shared" si="71"/>
        <v>0</v>
      </c>
      <c r="J311" s="992">
        <f t="shared" si="71"/>
        <v>0</v>
      </c>
      <c r="K311" s="992">
        <f t="shared" si="71"/>
        <v>0</v>
      </c>
      <c r="L311" s="992">
        <f t="shared" si="71"/>
        <v>0</v>
      </c>
      <c r="M311" s="992">
        <f t="shared" si="71"/>
        <v>0</v>
      </c>
      <c r="N311" s="171"/>
      <c r="O311" s="541"/>
    </row>
    <row r="312" spans="1:15" outlineLevel="1">
      <c r="A312" s="740">
        <f>ROW()</f>
        <v>312</v>
      </c>
      <c r="B312" s="299" t="str">
        <f>$B158</f>
        <v>3rd Grade Teacher</v>
      </c>
      <c r="C312" s="173">
        <f t="shared" si="66"/>
        <v>0</v>
      </c>
      <c r="D312" s="173"/>
      <c r="E312" s="173"/>
      <c r="F312" s="173"/>
      <c r="G312" s="992">
        <f>G158*$E158</f>
        <v>0</v>
      </c>
      <c r="H312" s="992">
        <f t="shared" si="71"/>
        <v>0</v>
      </c>
      <c r="I312" s="992">
        <f t="shared" si="71"/>
        <v>0</v>
      </c>
      <c r="J312" s="992">
        <f t="shared" si="71"/>
        <v>0</v>
      </c>
      <c r="K312" s="992">
        <f t="shared" si="71"/>
        <v>0</v>
      </c>
      <c r="L312" s="992">
        <f t="shared" si="71"/>
        <v>0</v>
      </c>
      <c r="M312" s="992">
        <f t="shared" si="71"/>
        <v>0</v>
      </c>
      <c r="N312" s="171"/>
      <c r="O312" s="541"/>
    </row>
    <row r="313" spans="1:15" outlineLevel="1">
      <c r="A313" s="740">
        <f>ROW()</f>
        <v>313</v>
      </c>
      <c r="B313" s="299" t="str">
        <f>$B159</f>
        <v>3rd Grade Teacher</v>
      </c>
      <c r="C313" s="173">
        <f t="shared" si="66"/>
        <v>0</v>
      </c>
      <c r="D313" s="173"/>
      <c r="E313" s="173"/>
      <c r="F313" s="173"/>
      <c r="G313" s="992">
        <f>G159*$E159</f>
        <v>0</v>
      </c>
      <c r="H313" s="992">
        <f t="shared" si="71"/>
        <v>0</v>
      </c>
      <c r="I313" s="992">
        <f t="shared" si="71"/>
        <v>0</v>
      </c>
      <c r="J313" s="992">
        <f t="shared" si="71"/>
        <v>0</v>
      </c>
      <c r="K313" s="992">
        <f t="shared" si="71"/>
        <v>0</v>
      </c>
      <c r="L313" s="992">
        <f t="shared" si="71"/>
        <v>0</v>
      </c>
      <c r="M313" s="992">
        <f t="shared" si="71"/>
        <v>0</v>
      </c>
      <c r="N313" s="171"/>
      <c r="O313" s="541"/>
    </row>
    <row r="314" spans="1:15" outlineLevel="1">
      <c r="A314" s="740">
        <f>ROW()</f>
        <v>314</v>
      </c>
      <c r="B314" s="299">
        <f>$B160</f>
        <v>0</v>
      </c>
      <c r="C314" s="173">
        <f t="shared" si="66"/>
        <v>0</v>
      </c>
      <c r="D314" s="173"/>
      <c r="E314" s="173"/>
      <c r="F314" s="173"/>
      <c r="G314" s="992">
        <f>G160*$E160</f>
        <v>0</v>
      </c>
      <c r="H314" s="992">
        <f t="shared" si="71"/>
        <v>0</v>
      </c>
      <c r="I314" s="992">
        <f t="shared" si="71"/>
        <v>0</v>
      </c>
      <c r="J314" s="992">
        <f t="shared" si="71"/>
        <v>0</v>
      </c>
      <c r="K314" s="992">
        <f t="shared" si="71"/>
        <v>0</v>
      </c>
      <c r="L314" s="992">
        <f t="shared" si="71"/>
        <v>0</v>
      </c>
      <c r="M314" s="992">
        <f t="shared" si="71"/>
        <v>0</v>
      </c>
      <c r="N314" s="171"/>
      <c r="O314" s="541"/>
    </row>
    <row r="315" spans="1:15" outlineLevel="1">
      <c r="A315" s="740">
        <f>ROW()</f>
        <v>315</v>
      </c>
      <c r="B315" s="299"/>
      <c r="C315" s="173">
        <f t="shared" si="66"/>
        <v>0</v>
      </c>
      <c r="D315" s="173"/>
      <c r="E315" s="173"/>
      <c r="F315" s="173"/>
      <c r="G315" s="992"/>
      <c r="H315" s="992"/>
      <c r="I315" s="992"/>
      <c r="J315" s="992"/>
      <c r="K315" s="992"/>
      <c r="L315" s="992"/>
      <c r="M315" s="992"/>
      <c r="N315" s="171"/>
      <c r="O315" s="541"/>
    </row>
    <row r="316" spans="1:15" outlineLevel="1">
      <c r="A316" s="740">
        <f>ROW()</f>
        <v>316</v>
      </c>
      <c r="B316" s="299" t="str">
        <f>$B162</f>
        <v>4th Grade Teacher</v>
      </c>
      <c r="C316" s="173">
        <f t="shared" si="66"/>
        <v>600000</v>
      </c>
      <c r="D316" s="173"/>
      <c r="E316" s="173"/>
      <c r="F316" s="173"/>
      <c r="G316" s="992">
        <f>G162*$E162</f>
        <v>0</v>
      </c>
      <c r="H316" s="992">
        <f t="shared" ref="H316:M320" si="72">(H162*$E162)</f>
        <v>0</v>
      </c>
      <c r="I316" s="992">
        <f t="shared" si="72"/>
        <v>0</v>
      </c>
      <c r="J316" s="992">
        <f t="shared" si="72"/>
        <v>150000</v>
      </c>
      <c r="K316" s="992">
        <f t="shared" si="72"/>
        <v>150000</v>
      </c>
      <c r="L316" s="992">
        <f t="shared" si="72"/>
        <v>150000</v>
      </c>
      <c r="M316" s="992">
        <f t="shared" si="72"/>
        <v>150000</v>
      </c>
      <c r="N316" s="171"/>
      <c r="O316" s="541"/>
    </row>
    <row r="317" spans="1:15" outlineLevel="1">
      <c r="A317" s="740">
        <f>ROW()</f>
        <v>317</v>
      </c>
      <c r="B317" s="299" t="str">
        <f>$B163</f>
        <v>4th Grade Teacher</v>
      </c>
      <c r="C317" s="173">
        <f t="shared" si="66"/>
        <v>0</v>
      </c>
      <c r="D317" s="173"/>
      <c r="E317" s="173"/>
      <c r="F317" s="173"/>
      <c r="G317" s="992">
        <f>G163*$E163</f>
        <v>0</v>
      </c>
      <c r="H317" s="992">
        <f t="shared" si="72"/>
        <v>0</v>
      </c>
      <c r="I317" s="992">
        <f t="shared" si="72"/>
        <v>0</v>
      </c>
      <c r="J317" s="992">
        <f t="shared" si="72"/>
        <v>0</v>
      </c>
      <c r="K317" s="992">
        <f t="shared" si="72"/>
        <v>0</v>
      </c>
      <c r="L317" s="992">
        <f t="shared" si="72"/>
        <v>0</v>
      </c>
      <c r="M317" s="992">
        <f t="shared" si="72"/>
        <v>0</v>
      </c>
      <c r="N317" s="171"/>
      <c r="O317" s="541"/>
    </row>
    <row r="318" spans="1:15" outlineLevel="1">
      <c r="A318" s="740">
        <f>ROW()</f>
        <v>318</v>
      </c>
      <c r="B318" s="299" t="str">
        <f>$B164</f>
        <v>4th Grade Teacher</v>
      </c>
      <c r="C318" s="173">
        <f t="shared" si="66"/>
        <v>0</v>
      </c>
      <c r="D318" s="173"/>
      <c r="E318" s="173"/>
      <c r="F318" s="173"/>
      <c r="G318" s="992">
        <f>G164*$E164</f>
        <v>0</v>
      </c>
      <c r="H318" s="992">
        <f t="shared" si="72"/>
        <v>0</v>
      </c>
      <c r="I318" s="992">
        <f t="shared" si="72"/>
        <v>0</v>
      </c>
      <c r="J318" s="992">
        <f t="shared" si="72"/>
        <v>0</v>
      </c>
      <c r="K318" s="992">
        <f t="shared" si="72"/>
        <v>0</v>
      </c>
      <c r="L318" s="992">
        <f t="shared" si="72"/>
        <v>0</v>
      </c>
      <c r="M318" s="992">
        <f t="shared" si="72"/>
        <v>0</v>
      </c>
      <c r="N318" s="171"/>
      <c r="O318" s="541"/>
    </row>
    <row r="319" spans="1:15" outlineLevel="1">
      <c r="A319" s="740">
        <f>ROW()</f>
        <v>319</v>
      </c>
      <c r="B319" s="299" t="str">
        <f>$B165</f>
        <v>4th Grade Teacher</v>
      </c>
      <c r="C319" s="173">
        <f t="shared" si="66"/>
        <v>0</v>
      </c>
      <c r="D319" s="173"/>
      <c r="E319" s="173"/>
      <c r="F319" s="173"/>
      <c r="G319" s="992">
        <f>G165*$E165</f>
        <v>0</v>
      </c>
      <c r="H319" s="992">
        <f t="shared" si="72"/>
        <v>0</v>
      </c>
      <c r="I319" s="992">
        <f t="shared" si="72"/>
        <v>0</v>
      </c>
      <c r="J319" s="992">
        <f t="shared" si="72"/>
        <v>0</v>
      </c>
      <c r="K319" s="992">
        <f t="shared" si="72"/>
        <v>0</v>
      </c>
      <c r="L319" s="992">
        <f t="shared" si="72"/>
        <v>0</v>
      </c>
      <c r="M319" s="992">
        <f t="shared" si="72"/>
        <v>0</v>
      </c>
      <c r="N319" s="171"/>
      <c r="O319" s="541"/>
    </row>
    <row r="320" spans="1:15" outlineLevel="1">
      <c r="A320" s="740">
        <f>ROW()</f>
        <v>320</v>
      </c>
      <c r="B320" s="299">
        <f>$B166</f>
        <v>0</v>
      </c>
      <c r="C320" s="173">
        <f t="shared" ref="C320:C351" si="73">SUM(G320:M320)</f>
        <v>0</v>
      </c>
      <c r="D320" s="173"/>
      <c r="E320" s="173"/>
      <c r="F320" s="173"/>
      <c r="G320" s="992">
        <f>G166*$E166</f>
        <v>0</v>
      </c>
      <c r="H320" s="992">
        <f t="shared" si="72"/>
        <v>0</v>
      </c>
      <c r="I320" s="992">
        <f t="shared" si="72"/>
        <v>0</v>
      </c>
      <c r="J320" s="992">
        <f t="shared" si="72"/>
        <v>0</v>
      </c>
      <c r="K320" s="992">
        <f t="shared" si="72"/>
        <v>0</v>
      </c>
      <c r="L320" s="992">
        <f t="shared" si="72"/>
        <v>0</v>
      </c>
      <c r="M320" s="992">
        <f t="shared" si="72"/>
        <v>0</v>
      </c>
      <c r="N320" s="174"/>
      <c r="O320" s="541"/>
    </row>
    <row r="321" spans="1:15" outlineLevel="1">
      <c r="A321" s="740">
        <f>ROW()</f>
        <v>321</v>
      </c>
      <c r="B321" s="299"/>
      <c r="C321" s="173">
        <f t="shared" si="73"/>
        <v>0</v>
      </c>
      <c r="D321" s="173"/>
      <c r="E321" s="173"/>
      <c r="F321" s="173"/>
      <c r="G321" s="992"/>
      <c r="H321" s="992"/>
      <c r="I321" s="992"/>
      <c r="J321" s="992"/>
      <c r="K321" s="992"/>
      <c r="L321" s="992"/>
      <c r="M321" s="992"/>
      <c r="N321" s="174"/>
      <c r="O321" s="541"/>
    </row>
    <row r="322" spans="1:15" outlineLevel="1">
      <c r="A322" s="740">
        <f>ROW()</f>
        <v>322</v>
      </c>
      <c r="B322" s="299" t="str">
        <f>$B168</f>
        <v>5th Grade Teacher</v>
      </c>
      <c r="C322" s="173">
        <f t="shared" si="73"/>
        <v>450000</v>
      </c>
      <c r="D322" s="173"/>
      <c r="E322" s="173"/>
      <c r="F322" s="173"/>
      <c r="G322" s="992">
        <f>G168*$E168</f>
        <v>0</v>
      </c>
      <c r="H322" s="992">
        <f t="shared" ref="H322:M326" si="74">(H168*$E168)</f>
        <v>0</v>
      </c>
      <c r="I322" s="992">
        <f t="shared" si="74"/>
        <v>0</v>
      </c>
      <c r="J322" s="992">
        <f t="shared" si="74"/>
        <v>0</v>
      </c>
      <c r="K322" s="992">
        <f t="shared" si="74"/>
        <v>150000</v>
      </c>
      <c r="L322" s="992">
        <f t="shared" si="74"/>
        <v>150000</v>
      </c>
      <c r="M322" s="992">
        <f t="shared" si="74"/>
        <v>150000</v>
      </c>
      <c r="N322" s="171"/>
      <c r="O322" s="541"/>
    </row>
    <row r="323" spans="1:15" outlineLevel="1">
      <c r="A323" s="740">
        <f>ROW()</f>
        <v>323</v>
      </c>
      <c r="B323" s="299" t="str">
        <f>$B169</f>
        <v>5th Grade Teacher</v>
      </c>
      <c r="C323" s="173">
        <f t="shared" si="73"/>
        <v>0</v>
      </c>
      <c r="D323" s="173"/>
      <c r="E323" s="173"/>
      <c r="F323" s="173"/>
      <c r="G323" s="992">
        <f>G169*$E169</f>
        <v>0</v>
      </c>
      <c r="H323" s="992">
        <f t="shared" si="74"/>
        <v>0</v>
      </c>
      <c r="I323" s="992">
        <f t="shared" si="74"/>
        <v>0</v>
      </c>
      <c r="J323" s="992">
        <f t="shared" si="74"/>
        <v>0</v>
      </c>
      <c r="K323" s="992">
        <f t="shared" si="74"/>
        <v>0</v>
      </c>
      <c r="L323" s="992">
        <f t="shared" si="74"/>
        <v>0</v>
      </c>
      <c r="M323" s="992">
        <f t="shared" si="74"/>
        <v>0</v>
      </c>
      <c r="N323" s="171"/>
      <c r="O323" s="541"/>
    </row>
    <row r="324" spans="1:15" outlineLevel="1">
      <c r="A324" s="740">
        <f>ROW()</f>
        <v>324</v>
      </c>
      <c r="B324" s="299" t="str">
        <f>$B170</f>
        <v>5th Grade Teacher</v>
      </c>
      <c r="C324" s="173">
        <f t="shared" si="73"/>
        <v>0</v>
      </c>
      <c r="D324" s="173"/>
      <c r="E324" s="173"/>
      <c r="F324" s="173"/>
      <c r="G324" s="992">
        <f>G170*$E170</f>
        <v>0</v>
      </c>
      <c r="H324" s="992">
        <f t="shared" si="74"/>
        <v>0</v>
      </c>
      <c r="I324" s="992">
        <f t="shared" si="74"/>
        <v>0</v>
      </c>
      <c r="J324" s="992">
        <f t="shared" si="74"/>
        <v>0</v>
      </c>
      <c r="K324" s="992">
        <f t="shared" si="74"/>
        <v>0</v>
      </c>
      <c r="L324" s="992">
        <f t="shared" si="74"/>
        <v>0</v>
      </c>
      <c r="M324" s="992">
        <f t="shared" si="74"/>
        <v>0</v>
      </c>
      <c r="N324" s="171"/>
      <c r="O324" s="541"/>
    </row>
    <row r="325" spans="1:15" outlineLevel="1">
      <c r="A325" s="740">
        <f>ROW()</f>
        <v>325</v>
      </c>
      <c r="B325" s="299" t="str">
        <f>$B171</f>
        <v>5th Grade Teacher</v>
      </c>
      <c r="C325" s="173">
        <f t="shared" si="73"/>
        <v>0</v>
      </c>
      <c r="D325" s="173"/>
      <c r="E325" s="173"/>
      <c r="F325" s="173"/>
      <c r="G325" s="992">
        <f>G171*$E171</f>
        <v>0</v>
      </c>
      <c r="H325" s="992">
        <f t="shared" si="74"/>
        <v>0</v>
      </c>
      <c r="I325" s="992">
        <f t="shared" si="74"/>
        <v>0</v>
      </c>
      <c r="J325" s="992">
        <f t="shared" si="74"/>
        <v>0</v>
      </c>
      <c r="K325" s="992">
        <f t="shared" si="74"/>
        <v>0</v>
      </c>
      <c r="L325" s="992">
        <f t="shared" si="74"/>
        <v>0</v>
      </c>
      <c r="M325" s="992">
        <f t="shared" si="74"/>
        <v>0</v>
      </c>
      <c r="N325" s="171"/>
      <c r="O325" s="541"/>
    </row>
    <row r="326" spans="1:15" outlineLevel="1">
      <c r="A326" s="740">
        <f>ROW()</f>
        <v>326</v>
      </c>
      <c r="B326" s="299">
        <f>$B172</f>
        <v>0</v>
      </c>
      <c r="C326" s="173">
        <f t="shared" si="73"/>
        <v>0</v>
      </c>
      <c r="D326" s="173"/>
      <c r="E326" s="173"/>
      <c r="F326" s="173"/>
      <c r="G326" s="992">
        <f>G172*$E172</f>
        <v>0</v>
      </c>
      <c r="H326" s="992">
        <f t="shared" si="74"/>
        <v>0</v>
      </c>
      <c r="I326" s="992">
        <f t="shared" si="74"/>
        <v>0</v>
      </c>
      <c r="J326" s="992">
        <f t="shared" si="74"/>
        <v>0</v>
      </c>
      <c r="K326" s="992">
        <f t="shared" si="74"/>
        <v>0</v>
      </c>
      <c r="L326" s="992">
        <f t="shared" si="74"/>
        <v>0</v>
      </c>
      <c r="M326" s="992">
        <f t="shared" si="74"/>
        <v>0</v>
      </c>
      <c r="N326" s="171"/>
      <c r="O326" s="541"/>
    </row>
    <row r="327" spans="1:15" outlineLevel="1">
      <c r="A327" s="740">
        <f>ROW()</f>
        <v>327</v>
      </c>
      <c r="B327" s="299"/>
      <c r="C327" s="173">
        <f t="shared" si="73"/>
        <v>0</v>
      </c>
      <c r="D327" s="173"/>
      <c r="E327" s="173"/>
      <c r="F327" s="173"/>
      <c r="G327" s="992"/>
      <c r="H327" s="992"/>
      <c r="I327" s="992"/>
      <c r="J327" s="992"/>
      <c r="K327" s="992"/>
      <c r="L327" s="992"/>
      <c r="M327" s="992"/>
      <c r="N327" s="171"/>
      <c r="O327" s="541"/>
    </row>
    <row r="328" spans="1:15" outlineLevel="1">
      <c r="A328" s="740">
        <f>ROW()</f>
        <v>328</v>
      </c>
      <c r="B328" s="299" t="str">
        <f>$B174</f>
        <v>6th Grade Teacher</v>
      </c>
      <c r="C328" s="173">
        <f t="shared" si="73"/>
        <v>0</v>
      </c>
      <c r="D328" s="173"/>
      <c r="E328" s="173"/>
      <c r="F328" s="173"/>
      <c r="G328" s="992">
        <f>G174*$E174</f>
        <v>0</v>
      </c>
      <c r="H328" s="992">
        <f t="shared" ref="H328:M332" si="75">(H174*$E174)</f>
        <v>0</v>
      </c>
      <c r="I328" s="992">
        <f t="shared" si="75"/>
        <v>0</v>
      </c>
      <c r="J328" s="992">
        <f t="shared" si="75"/>
        <v>0</v>
      </c>
      <c r="K328" s="992">
        <f t="shared" si="75"/>
        <v>0</v>
      </c>
      <c r="L328" s="992">
        <f t="shared" si="75"/>
        <v>0</v>
      </c>
      <c r="M328" s="992">
        <f t="shared" si="75"/>
        <v>0</v>
      </c>
      <c r="N328" s="171"/>
      <c r="O328" s="541"/>
    </row>
    <row r="329" spans="1:15" outlineLevel="1">
      <c r="A329" s="740">
        <f>ROW()</f>
        <v>329</v>
      </c>
      <c r="B329" s="299" t="str">
        <f>$B175</f>
        <v>6th Grade Teacher</v>
      </c>
      <c r="C329" s="173">
        <f t="shared" si="73"/>
        <v>0</v>
      </c>
      <c r="D329" s="173"/>
      <c r="E329" s="173"/>
      <c r="F329" s="173"/>
      <c r="G329" s="992">
        <f>G175*$E175</f>
        <v>0</v>
      </c>
      <c r="H329" s="992">
        <f t="shared" si="75"/>
        <v>0</v>
      </c>
      <c r="I329" s="992">
        <f t="shared" si="75"/>
        <v>0</v>
      </c>
      <c r="J329" s="992">
        <f t="shared" si="75"/>
        <v>0</v>
      </c>
      <c r="K329" s="992">
        <f t="shared" si="75"/>
        <v>0</v>
      </c>
      <c r="L329" s="992">
        <f t="shared" si="75"/>
        <v>0</v>
      </c>
      <c r="M329" s="992">
        <f t="shared" si="75"/>
        <v>0</v>
      </c>
      <c r="N329" s="171"/>
      <c r="O329" s="541"/>
    </row>
    <row r="330" spans="1:15" outlineLevel="1">
      <c r="A330" s="740">
        <f>ROW()</f>
        <v>330</v>
      </c>
      <c r="B330" s="299" t="str">
        <f>$B176</f>
        <v>6th Grade Teacher</v>
      </c>
      <c r="C330" s="173">
        <f t="shared" si="73"/>
        <v>0</v>
      </c>
      <c r="D330" s="173"/>
      <c r="E330" s="173"/>
      <c r="F330" s="173"/>
      <c r="G330" s="992">
        <f>G176*$E176</f>
        <v>0</v>
      </c>
      <c r="H330" s="992">
        <f t="shared" si="75"/>
        <v>0</v>
      </c>
      <c r="I330" s="992">
        <f t="shared" si="75"/>
        <v>0</v>
      </c>
      <c r="J330" s="992">
        <f t="shared" si="75"/>
        <v>0</v>
      </c>
      <c r="K330" s="992">
        <f t="shared" si="75"/>
        <v>0</v>
      </c>
      <c r="L330" s="992">
        <f t="shared" si="75"/>
        <v>0</v>
      </c>
      <c r="M330" s="992">
        <f t="shared" si="75"/>
        <v>0</v>
      </c>
      <c r="N330" s="171"/>
      <c r="O330" s="541"/>
    </row>
    <row r="331" spans="1:15" outlineLevel="1">
      <c r="A331" s="740">
        <f>ROW()</f>
        <v>331</v>
      </c>
      <c r="B331" s="299" t="str">
        <f>$B177</f>
        <v>6th Grade Teacher</v>
      </c>
      <c r="C331" s="173">
        <f t="shared" si="73"/>
        <v>0</v>
      </c>
      <c r="D331" s="173"/>
      <c r="E331" s="173"/>
      <c r="F331" s="173"/>
      <c r="G331" s="992">
        <f>G177*$E177</f>
        <v>0</v>
      </c>
      <c r="H331" s="992">
        <f t="shared" si="75"/>
        <v>0</v>
      </c>
      <c r="I331" s="992">
        <f t="shared" si="75"/>
        <v>0</v>
      </c>
      <c r="J331" s="992">
        <f t="shared" si="75"/>
        <v>0</v>
      </c>
      <c r="K331" s="992">
        <f t="shared" si="75"/>
        <v>0</v>
      </c>
      <c r="L331" s="992">
        <f t="shared" si="75"/>
        <v>0</v>
      </c>
      <c r="M331" s="992">
        <f t="shared" si="75"/>
        <v>0</v>
      </c>
      <c r="N331" s="171"/>
      <c r="O331" s="541"/>
    </row>
    <row r="332" spans="1:15" outlineLevel="1">
      <c r="A332" s="740">
        <f>ROW()</f>
        <v>332</v>
      </c>
      <c r="B332" s="299">
        <f>$B178</f>
        <v>0</v>
      </c>
      <c r="C332" s="173">
        <f t="shared" si="73"/>
        <v>0</v>
      </c>
      <c r="D332" s="173"/>
      <c r="E332" s="173"/>
      <c r="F332" s="173"/>
      <c r="G332" s="992">
        <f>G178*$E178</f>
        <v>0</v>
      </c>
      <c r="H332" s="992">
        <f t="shared" si="75"/>
        <v>0</v>
      </c>
      <c r="I332" s="992">
        <f t="shared" si="75"/>
        <v>0</v>
      </c>
      <c r="J332" s="992">
        <f t="shared" si="75"/>
        <v>0</v>
      </c>
      <c r="K332" s="992">
        <f t="shared" si="75"/>
        <v>0</v>
      </c>
      <c r="L332" s="992">
        <f t="shared" si="75"/>
        <v>0</v>
      </c>
      <c r="M332" s="992">
        <f t="shared" si="75"/>
        <v>0</v>
      </c>
      <c r="N332" s="174"/>
      <c r="O332" s="541"/>
    </row>
    <row r="333" spans="1:15" outlineLevel="1">
      <c r="A333" s="740">
        <f>ROW()</f>
        <v>333</v>
      </c>
      <c r="B333" s="299"/>
      <c r="C333" s="173">
        <f t="shared" si="73"/>
        <v>0</v>
      </c>
      <c r="D333" s="173"/>
      <c r="E333" s="173"/>
      <c r="F333" s="173"/>
      <c r="G333" s="992"/>
      <c r="H333" s="992"/>
      <c r="I333" s="992"/>
      <c r="J333" s="992"/>
      <c r="K333" s="992"/>
      <c r="L333" s="992"/>
      <c r="M333" s="992"/>
      <c r="N333" s="174"/>
      <c r="O333" s="541"/>
    </row>
    <row r="334" spans="1:15" outlineLevel="1">
      <c r="A334" s="740">
        <f>ROW()</f>
        <v>334</v>
      </c>
      <c r="B334" s="299" t="str">
        <f t="shared" ref="B334:B339" si="76">$B180</f>
        <v>7th Grade Teacher</v>
      </c>
      <c r="C334" s="173">
        <f t="shared" si="73"/>
        <v>0</v>
      </c>
      <c r="D334" s="173"/>
      <c r="E334" s="173"/>
      <c r="F334" s="173"/>
      <c r="G334" s="992">
        <f t="shared" ref="G334:G339" si="77">G180*$E180</f>
        <v>0</v>
      </c>
      <c r="H334" s="992">
        <f t="shared" ref="H334:M339" si="78">(H180*$E180)</f>
        <v>0</v>
      </c>
      <c r="I334" s="992">
        <f t="shared" si="78"/>
        <v>0</v>
      </c>
      <c r="J334" s="992">
        <f t="shared" si="78"/>
        <v>0</v>
      </c>
      <c r="K334" s="992">
        <f t="shared" si="78"/>
        <v>0</v>
      </c>
      <c r="L334" s="992">
        <f t="shared" si="78"/>
        <v>0</v>
      </c>
      <c r="M334" s="992">
        <f t="shared" si="78"/>
        <v>0</v>
      </c>
      <c r="N334" s="171"/>
      <c r="O334" s="541"/>
    </row>
    <row r="335" spans="1:15" outlineLevel="1">
      <c r="A335" s="740">
        <f>ROW()</f>
        <v>335</v>
      </c>
      <c r="B335" s="299" t="str">
        <f t="shared" si="76"/>
        <v>7th Grade Teacher</v>
      </c>
      <c r="C335" s="173">
        <f t="shared" si="73"/>
        <v>0</v>
      </c>
      <c r="D335" s="173"/>
      <c r="E335" s="173"/>
      <c r="F335" s="173"/>
      <c r="G335" s="992">
        <f t="shared" si="77"/>
        <v>0</v>
      </c>
      <c r="H335" s="992">
        <f t="shared" si="78"/>
        <v>0</v>
      </c>
      <c r="I335" s="992">
        <f t="shared" si="78"/>
        <v>0</v>
      </c>
      <c r="J335" s="992">
        <f t="shared" si="78"/>
        <v>0</v>
      </c>
      <c r="K335" s="992">
        <f t="shared" si="78"/>
        <v>0</v>
      </c>
      <c r="L335" s="992">
        <f t="shared" si="78"/>
        <v>0</v>
      </c>
      <c r="M335" s="992">
        <f t="shared" si="78"/>
        <v>0</v>
      </c>
      <c r="N335" s="171"/>
      <c r="O335" s="541"/>
    </row>
    <row r="336" spans="1:15" outlineLevel="1">
      <c r="A336" s="740">
        <f>ROW()</f>
        <v>336</v>
      </c>
      <c r="B336" s="299" t="str">
        <f t="shared" si="76"/>
        <v>7th Grade Teacher</v>
      </c>
      <c r="C336" s="173">
        <f t="shared" si="73"/>
        <v>0</v>
      </c>
      <c r="D336" s="173"/>
      <c r="E336" s="173"/>
      <c r="F336" s="173"/>
      <c r="G336" s="992">
        <f t="shared" si="77"/>
        <v>0</v>
      </c>
      <c r="H336" s="992">
        <f t="shared" si="78"/>
        <v>0</v>
      </c>
      <c r="I336" s="992">
        <f t="shared" si="78"/>
        <v>0</v>
      </c>
      <c r="J336" s="992">
        <f t="shared" si="78"/>
        <v>0</v>
      </c>
      <c r="K336" s="992">
        <f t="shared" si="78"/>
        <v>0</v>
      </c>
      <c r="L336" s="992">
        <f t="shared" si="78"/>
        <v>0</v>
      </c>
      <c r="M336" s="992">
        <f t="shared" si="78"/>
        <v>0</v>
      </c>
      <c r="N336" s="171"/>
      <c r="O336" s="541"/>
    </row>
    <row r="337" spans="1:15" outlineLevel="1">
      <c r="A337" s="740">
        <f>ROW()</f>
        <v>337</v>
      </c>
      <c r="B337" s="299" t="str">
        <f t="shared" si="76"/>
        <v>7th Grade Teacher</v>
      </c>
      <c r="C337" s="173">
        <f t="shared" si="73"/>
        <v>0</v>
      </c>
      <c r="D337" s="173"/>
      <c r="E337" s="173"/>
      <c r="F337" s="173"/>
      <c r="G337" s="992">
        <f t="shared" si="77"/>
        <v>0</v>
      </c>
      <c r="H337" s="992">
        <f t="shared" si="78"/>
        <v>0</v>
      </c>
      <c r="I337" s="992">
        <f t="shared" si="78"/>
        <v>0</v>
      </c>
      <c r="J337" s="992">
        <f t="shared" si="78"/>
        <v>0</v>
      </c>
      <c r="K337" s="992">
        <f t="shared" si="78"/>
        <v>0</v>
      </c>
      <c r="L337" s="992">
        <f t="shared" si="78"/>
        <v>0</v>
      </c>
      <c r="M337" s="992">
        <f t="shared" si="78"/>
        <v>0</v>
      </c>
      <c r="N337" s="171"/>
      <c r="O337" s="541"/>
    </row>
    <row r="338" spans="1:15" outlineLevel="1">
      <c r="A338" s="740">
        <f>ROW()</f>
        <v>338</v>
      </c>
      <c r="B338" s="299">
        <f t="shared" si="76"/>
        <v>0</v>
      </c>
      <c r="C338" s="173">
        <f t="shared" si="73"/>
        <v>0</v>
      </c>
      <c r="D338" s="173"/>
      <c r="E338" s="173"/>
      <c r="F338" s="173"/>
      <c r="G338" s="992">
        <f t="shared" si="77"/>
        <v>0</v>
      </c>
      <c r="H338" s="992">
        <f t="shared" si="78"/>
        <v>0</v>
      </c>
      <c r="I338" s="992">
        <f t="shared" si="78"/>
        <v>0</v>
      </c>
      <c r="J338" s="992">
        <f t="shared" si="78"/>
        <v>0</v>
      </c>
      <c r="K338" s="992">
        <f t="shared" si="78"/>
        <v>0</v>
      </c>
      <c r="L338" s="992">
        <f t="shared" si="78"/>
        <v>0</v>
      </c>
      <c r="M338" s="992">
        <f t="shared" si="78"/>
        <v>0</v>
      </c>
      <c r="N338" s="171"/>
      <c r="O338" s="541"/>
    </row>
    <row r="339" spans="1:15" outlineLevel="1">
      <c r="A339" s="740">
        <f>ROW()</f>
        <v>339</v>
      </c>
      <c r="B339" s="299">
        <f t="shared" si="76"/>
        <v>0</v>
      </c>
      <c r="C339" s="173">
        <f t="shared" si="73"/>
        <v>0</v>
      </c>
      <c r="D339" s="173"/>
      <c r="E339" s="173"/>
      <c r="F339" s="173"/>
      <c r="G339" s="992">
        <f t="shared" si="77"/>
        <v>0</v>
      </c>
      <c r="H339" s="992">
        <f t="shared" si="78"/>
        <v>0</v>
      </c>
      <c r="I339" s="992">
        <f t="shared" si="78"/>
        <v>0</v>
      </c>
      <c r="J339" s="992">
        <f t="shared" si="78"/>
        <v>0</v>
      </c>
      <c r="K339" s="992">
        <f t="shared" si="78"/>
        <v>0</v>
      </c>
      <c r="L339" s="992">
        <f t="shared" si="78"/>
        <v>0</v>
      </c>
      <c r="M339" s="992">
        <f t="shared" si="78"/>
        <v>0</v>
      </c>
      <c r="N339" s="171"/>
      <c r="O339" s="541"/>
    </row>
    <row r="340" spans="1:15" outlineLevel="1">
      <c r="A340" s="740">
        <f>ROW()</f>
        <v>340</v>
      </c>
      <c r="B340" s="299"/>
      <c r="C340" s="173">
        <f t="shared" si="73"/>
        <v>0</v>
      </c>
      <c r="D340" s="173"/>
      <c r="E340" s="173"/>
      <c r="F340" s="173"/>
      <c r="G340" s="992"/>
      <c r="H340" s="992"/>
      <c r="I340" s="992"/>
      <c r="J340" s="992"/>
      <c r="K340" s="992"/>
      <c r="L340" s="992"/>
      <c r="M340" s="992"/>
      <c r="N340" s="174"/>
      <c r="O340" s="541"/>
    </row>
    <row r="341" spans="1:15" outlineLevel="1">
      <c r="A341" s="740">
        <f>ROW()</f>
        <v>341</v>
      </c>
      <c r="B341" s="299" t="str">
        <f>$B187</f>
        <v>8th Grade Teacher</v>
      </c>
      <c r="C341" s="173">
        <f t="shared" si="73"/>
        <v>0</v>
      </c>
      <c r="D341" s="173"/>
      <c r="E341" s="173"/>
      <c r="F341" s="173"/>
      <c r="G341" s="992">
        <f>G187*$E187</f>
        <v>0</v>
      </c>
      <c r="H341" s="992">
        <f t="shared" ref="H341:M345" si="79">(H187*$E187)</f>
        <v>0</v>
      </c>
      <c r="I341" s="992">
        <f t="shared" si="79"/>
        <v>0</v>
      </c>
      <c r="J341" s="992">
        <f t="shared" si="79"/>
        <v>0</v>
      </c>
      <c r="K341" s="992">
        <f t="shared" si="79"/>
        <v>0</v>
      </c>
      <c r="L341" s="992">
        <f t="shared" si="79"/>
        <v>0</v>
      </c>
      <c r="M341" s="992">
        <f t="shared" si="79"/>
        <v>0</v>
      </c>
      <c r="N341" s="171"/>
      <c r="O341" s="541"/>
    </row>
    <row r="342" spans="1:15" outlineLevel="1">
      <c r="A342" s="740">
        <f>ROW()</f>
        <v>342</v>
      </c>
      <c r="B342" s="299" t="str">
        <f>$B$188</f>
        <v>8th Grade Teacher</v>
      </c>
      <c r="C342" s="173">
        <f t="shared" si="73"/>
        <v>0</v>
      </c>
      <c r="D342" s="173"/>
      <c r="E342" s="173"/>
      <c r="F342" s="173"/>
      <c r="G342" s="992">
        <f>G188*$E188</f>
        <v>0</v>
      </c>
      <c r="H342" s="992">
        <f t="shared" si="79"/>
        <v>0</v>
      </c>
      <c r="I342" s="992">
        <f t="shared" si="79"/>
        <v>0</v>
      </c>
      <c r="J342" s="992">
        <f t="shared" si="79"/>
        <v>0</v>
      </c>
      <c r="K342" s="992">
        <f t="shared" si="79"/>
        <v>0</v>
      </c>
      <c r="L342" s="992">
        <f t="shared" si="79"/>
        <v>0</v>
      </c>
      <c r="M342" s="992">
        <f t="shared" si="79"/>
        <v>0</v>
      </c>
      <c r="N342" s="171"/>
      <c r="O342" s="541"/>
    </row>
    <row r="343" spans="1:15" outlineLevel="1">
      <c r="A343" s="740">
        <f>ROW()</f>
        <v>343</v>
      </c>
      <c r="B343" s="299" t="str">
        <f>$B$189</f>
        <v>8th Grade Teacher</v>
      </c>
      <c r="C343" s="173">
        <f t="shared" si="73"/>
        <v>0</v>
      </c>
      <c r="D343" s="173"/>
      <c r="E343" s="173"/>
      <c r="F343" s="173"/>
      <c r="G343" s="992">
        <f>G189*$E189</f>
        <v>0</v>
      </c>
      <c r="H343" s="992">
        <f t="shared" si="79"/>
        <v>0</v>
      </c>
      <c r="I343" s="992">
        <f t="shared" si="79"/>
        <v>0</v>
      </c>
      <c r="J343" s="992">
        <f t="shared" si="79"/>
        <v>0</v>
      </c>
      <c r="K343" s="992">
        <f t="shared" si="79"/>
        <v>0</v>
      </c>
      <c r="L343" s="992">
        <f t="shared" si="79"/>
        <v>0</v>
      </c>
      <c r="M343" s="992">
        <f t="shared" si="79"/>
        <v>0</v>
      </c>
      <c r="N343" s="171"/>
      <c r="O343" s="541"/>
    </row>
    <row r="344" spans="1:15" outlineLevel="1">
      <c r="A344" s="740">
        <f>ROW()</f>
        <v>344</v>
      </c>
      <c r="B344" s="299" t="str">
        <f>$B$190</f>
        <v>8th Grade Teacher</v>
      </c>
      <c r="C344" s="173">
        <f t="shared" si="73"/>
        <v>0</v>
      </c>
      <c r="D344" s="173"/>
      <c r="E344" s="173"/>
      <c r="F344" s="173"/>
      <c r="G344" s="992">
        <f>G190*$E190</f>
        <v>0</v>
      </c>
      <c r="H344" s="992">
        <f t="shared" si="79"/>
        <v>0</v>
      </c>
      <c r="I344" s="992">
        <f t="shared" si="79"/>
        <v>0</v>
      </c>
      <c r="J344" s="992">
        <f t="shared" si="79"/>
        <v>0</v>
      </c>
      <c r="K344" s="992">
        <f t="shared" si="79"/>
        <v>0</v>
      </c>
      <c r="L344" s="992">
        <f t="shared" si="79"/>
        <v>0</v>
      </c>
      <c r="M344" s="992">
        <f t="shared" si="79"/>
        <v>0</v>
      </c>
      <c r="N344" s="171"/>
      <c r="O344" s="541"/>
    </row>
    <row r="345" spans="1:15" outlineLevel="1">
      <c r="A345" s="740">
        <f>ROW()</f>
        <v>345</v>
      </c>
      <c r="B345" s="299">
        <f>$B$191</f>
        <v>0</v>
      </c>
      <c r="C345" s="173">
        <f t="shared" si="73"/>
        <v>0</v>
      </c>
      <c r="D345" s="173"/>
      <c r="E345" s="173"/>
      <c r="F345" s="173"/>
      <c r="G345" s="992">
        <f>G191*$E191</f>
        <v>0</v>
      </c>
      <c r="H345" s="992">
        <f t="shared" si="79"/>
        <v>0</v>
      </c>
      <c r="I345" s="992">
        <f t="shared" si="79"/>
        <v>0</v>
      </c>
      <c r="J345" s="992">
        <f t="shared" si="79"/>
        <v>0</v>
      </c>
      <c r="K345" s="992">
        <f t="shared" si="79"/>
        <v>0</v>
      </c>
      <c r="L345" s="992">
        <f t="shared" si="79"/>
        <v>0</v>
      </c>
      <c r="M345" s="992">
        <f t="shared" si="79"/>
        <v>0</v>
      </c>
      <c r="N345" s="171"/>
      <c r="O345" s="541"/>
    </row>
    <row r="346" spans="1:15" outlineLevel="1">
      <c r="A346" s="740">
        <f>ROW()</f>
        <v>346</v>
      </c>
      <c r="B346" s="299"/>
      <c r="C346" s="173">
        <f t="shared" si="73"/>
        <v>0</v>
      </c>
      <c r="D346" s="173"/>
      <c r="E346" s="173"/>
      <c r="F346" s="173"/>
      <c r="G346" s="992"/>
      <c r="H346" s="992"/>
      <c r="I346" s="992"/>
      <c r="J346" s="992"/>
      <c r="K346" s="992"/>
      <c r="L346" s="992"/>
      <c r="M346" s="992"/>
      <c r="N346" s="171"/>
      <c r="O346" s="541"/>
    </row>
    <row r="347" spans="1:15" outlineLevel="1">
      <c r="A347" s="740">
        <f>ROW()</f>
        <v>347</v>
      </c>
      <c r="B347" s="299" t="str">
        <f>$B$193</f>
        <v>Specials/Electives Licensed Teacher</v>
      </c>
      <c r="C347" s="173">
        <f t="shared" si="73"/>
        <v>294000</v>
      </c>
      <c r="D347" s="173"/>
      <c r="E347" s="173"/>
      <c r="F347" s="173"/>
      <c r="G347" s="992">
        <f>G193*$E193</f>
        <v>0</v>
      </c>
      <c r="H347" s="992">
        <f t="shared" ref="H347:M351" si="80">(H193*$E193)</f>
        <v>49000</v>
      </c>
      <c r="I347" s="992">
        <f t="shared" si="80"/>
        <v>49000</v>
      </c>
      <c r="J347" s="992">
        <f t="shared" si="80"/>
        <v>49000</v>
      </c>
      <c r="K347" s="992">
        <f t="shared" si="80"/>
        <v>49000</v>
      </c>
      <c r="L347" s="992">
        <f t="shared" si="80"/>
        <v>49000</v>
      </c>
      <c r="M347" s="992">
        <f t="shared" si="80"/>
        <v>49000</v>
      </c>
      <c r="N347" s="171"/>
      <c r="O347" s="541"/>
    </row>
    <row r="348" spans="1:15" outlineLevel="1">
      <c r="A348" s="740">
        <f>ROW()</f>
        <v>348</v>
      </c>
      <c r="B348" s="299" t="str">
        <f>$B$194</f>
        <v>Specials/Electives Licensed Teacher</v>
      </c>
      <c r="C348" s="173">
        <f t="shared" si="73"/>
        <v>196000</v>
      </c>
      <c r="D348" s="173"/>
      <c r="E348" s="173"/>
      <c r="F348" s="173"/>
      <c r="G348" s="992">
        <f>G194*$E194</f>
        <v>0</v>
      </c>
      <c r="H348" s="992">
        <f t="shared" si="80"/>
        <v>0</v>
      </c>
      <c r="I348" s="992">
        <f t="shared" si="80"/>
        <v>0</v>
      </c>
      <c r="J348" s="992">
        <f t="shared" si="80"/>
        <v>49000</v>
      </c>
      <c r="K348" s="992">
        <f t="shared" si="80"/>
        <v>49000</v>
      </c>
      <c r="L348" s="992">
        <f t="shared" si="80"/>
        <v>49000</v>
      </c>
      <c r="M348" s="992">
        <f t="shared" si="80"/>
        <v>49000</v>
      </c>
      <c r="N348" s="171"/>
      <c r="O348" s="541"/>
    </row>
    <row r="349" spans="1:15" outlineLevel="1">
      <c r="A349" s="740">
        <f>ROW()</f>
        <v>349</v>
      </c>
      <c r="B349" s="299" t="str">
        <f>$B$195</f>
        <v>Grade Level Teacher</v>
      </c>
      <c r="C349" s="173">
        <f t="shared" si="73"/>
        <v>0</v>
      </c>
      <c r="D349" s="173"/>
      <c r="E349" s="173"/>
      <c r="F349" s="173"/>
      <c r="G349" s="992">
        <f>G195*$E195</f>
        <v>0</v>
      </c>
      <c r="H349" s="992">
        <f t="shared" si="80"/>
        <v>0</v>
      </c>
      <c r="I349" s="992">
        <f t="shared" si="80"/>
        <v>0</v>
      </c>
      <c r="J349" s="992">
        <f t="shared" si="80"/>
        <v>0</v>
      </c>
      <c r="K349" s="992">
        <f t="shared" si="80"/>
        <v>0</v>
      </c>
      <c r="L349" s="992">
        <f t="shared" si="80"/>
        <v>0</v>
      </c>
      <c r="M349" s="992">
        <f t="shared" si="80"/>
        <v>0</v>
      </c>
      <c r="N349" s="171"/>
      <c r="O349" s="541"/>
    </row>
    <row r="350" spans="1:15" outlineLevel="1">
      <c r="A350" s="740">
        <f>ROW()</f>
        <v>350</v>
      </c>
      <c r="B350" s="299" t="str">
        <f>$B$196</f>
        <v>Grade Level Teacher</v>
      </c>
      <c r="C350" s="173">
        <f t="shared" si="73"/>
        <v>0</v>
      </c>
      <c r="D350" s="173"/>
      <c r="E350" s="173"/>
      <c r="F350" s="173"/>
      <c r="G350" s="992">
        <f>G196*$E196</f>
        <v>0</v>
      </c>
      <c r="H350" s="992">
        <f t="shared" si="80"/>
        <v>0</v>
      </c>
      <c r="I350" s="992">
        <f t="shared" si="80"/>
        <v>0</v>
      </c>
      <c r="J350" s="992">
        <f t="shared" si="80"/>
        <v>0</v>
      </c>
      <c r="K350" s="992">
        <f t="shared" si="80"/>
        <v>0</v>
      </c>
      <c r="L350" s="992">
        <f t="shared" si="80"/>
        <v>0</v>
      </c>
      <c r="M350" s="992">
        <f t="shared" si="80"/>
        <v>0</v>
      </c>
      <c r="N350" s="171"/>
      <c r="O350" s="541"/>
    </row>
    <row r="351" spans="1:15" outlineLevel="1">
      <c r="A351" s="740">
        <f>ROW()</f>
        <v>351</v>
      </c>
      <c r="B351" s="299" t="str">
        <f>$B$197</f>
        <v>Grade Level Teacher</v>
      </c>
      <c r="C351" s="173">
        <f t="shared" si="73"/>
        <v>0</v>
      </c>
      <c r="D351" s="173"/>
      <c r="E351" s="173"/>
      <c r="F351" s="173"/>
      <c r="G351" s="992">
        <f>G197*$E197</f>
        <v>0</v>
      </c>
      <c r="H351" s="992">
        <f t="shared" si="80"/>
        <v>0</v>
      </c>
      <c r="I351" s="992">
        <f t="shared" si="80"/>
        <v>0</v>
      </c>
      <c r="J351" s="992">
        <f t="shared" si="80"/>
        <v>0</v>
      </c>
      <c r="K351" s="992">
        <f t="shared" si="80"/>
        <v>0</v>
      </c>
      <c r="L351" s="992">
        <f t="shared" si="80"/>
        <v>0</v>
      </c>
      <c r="M351" s="992">
        <f t="shared" si="80"/>
        <v>0</v>
      </c>
      <c r="N351" s="171"/>
      <c r="O351" s="541"/>
    </row>
    <row r="352" spans="1:15" outlineLevel="1">
      <c r="A352" s="740">
        <f>ROW()</f>
        <v>352</v>
      </c>
      <c r="B352" s="299"/>
      <c r="C352" s="173">
        <f t="shared" ref="C352:C381" si="81">SUM(G352:M352)</f>
        <v>0</v>
      </c>
      <c r="D352" s="173"/>
      <c r="E352" s="173"/>
      <c r="F352" s="173"/>
      <c r="G352" s="992"/>
      <c r="H352" s="992"/>
      <c r="I352" s="992"/>
      <c r="J352" s="992"/>
      <c r="K352" s="992"/>
      <c r="L352" s="992"/>
      <c r="M352" s="992"/>
      <c r="N352" s="171"/>
      <c r="O352" s="541"/>
    </row>
    <row r="353" spans="1:15" outlineLevel="1">
      <c r="A353" s="740">
        <f>ROW()</f>
        <v>353</v>
      </c>
      <c r="B353" s="299" t="str">
        <f>$B$199</f>
        <v>STEAM Teacher</v>
      </c>
      <c r="C353" s="173">
        <f t="shared" si="81"/>
        <v>0</v>
      </c>
      <c r="D353" s="173"/>
      <c r="E353" s="173"/>
      <c r="F353" s="173"/>
      <c r="G353" s="992">
        <f>G199*$E199</f>
        <v>0</v>
      </c>
      <c r="H353" s="992">
        <f t="shared" ref="H353:M357" si="82">(H199*$E199)</f>
        <v>0</v>
      </c>
      <c r="I353" s="992">
        <f t="shared" si="82"/>
        <v>0</v>
      </c>
      <c r="J353" s="992">
        <f t="shared" si="82"/>
        <v>0</v>
      </c>
      <c r="K353" s="992">
        <f t="shared" si="82"/>
        <v>0</v>
      </c>
      <c r="L353" s="992">
        <f t="shared" si="82"/>
        <v>0</v>
      </c>
      <c r="M353" s="992">
        <f t="shared" si="82"/>
        <v>0</v>
      </c>
      <c r="N353" s="171"/>
      <c r="O353" s="541"/>
    </row>
    <row r="354" spans="1:15" outlineLevel="1">
      <c r="A354" s="740">
        <f>ROW()</f>
        <v>354</v>
      </c>
      <c r="B354" s="299" t="str">
        <f>$B$200</f>
        <v>STEAM Teacher</v>
      </c>
      <c r="C354" s="173">
        <f t="shared" si="81"/>
        <v>0</v>
      </c>
      <c r="D354" s="173"/>
      <c r="E354" s="173"/>
      <c r="F354" s="173"/>
      <c r="G354" s="992">
        <f>G200*$E200</f>
        <v>0</v>
      </c>
      <c r="H354" s="992">
        <f t="shared" si="82"/>
        <v>0</v>
      </c>
      <c r="I354" s="992">
        <f t="shared" si="82"/>
        <v>0</v>
      </c>
      <c r="J354" s="992">
        <f t="shared" si="82"/>
        <v>0</v>
      </c>
      <c r="K354" s="992">
        <f t="shared" si="82"/>
        <v>0</v>
      </c>
      <c r="L354" s="992">
        <f t="shared" si="82"/>
        <v>0</v>
      </c>
      <c r="M354" s="992">
        <f t="shared" si="82"/>
        <v>0</v>
      </c>
      <c r="N354" s="171"/>
      <c r="O354" s="541"/>
    </row>
    <row r="355" spans="1:15" outlineLevel="1">
      <c r="A355" s="740">
        <f>ROW()</f>
        <v>355</v>
      </c>
      <c r="B355" s="299" t="str">
        <f>$B$201</f>
        <v>Grade Level Teacher</v>
      </c>
      <c r="C355" s="173">
        <f t="shared" si="81"/>
        <v>0</v>
      </c>
      <c r="D355" s="173"/>
      <c r="E355" s="173"/>
      <c r="F355" s="173"/>
      <c r="G355" s="992">
        <f>G201*$E201</f>
        <v>0</v>
      </c>
      <c r="H355" s="992">
        <f t="shared" si="82"/>
        <v>0</v>
      </c>
      <c r="I355" s="992">
        <f t="shared" si="82"/>
        <v>0</v>
      </c>
      <c r="J355" s="992">
        <f t="shared" si="82"/>
        <v>0</v>
      </c>
      <c r="K355" s="992">
        <f t="shared" si="82"/>
        <v>0</v>
      </c>
      <c r="L355" s="992">
        <f t="shared" si="82"/>
        <v>0</v>
      </c>
      <c r="M355" s="992">
        <f t="shared" si="82"/>
        <v>0</v>
      </c>
      <c r="N355" s="171"/>
      <c r="O355" s="541"/>
    </row>
    <row r="356" spans="1:15" outlineLevel="1">
      <c r="A356" s="740">
        <f>ROW()</f>
        <v>356</v>
      </c>
      <c r="B356" s="299" t="str">
        <f>$B$202</f>
        <v>Grade Level Teacher</v>
      </c>
      <c r="C356" s="173">
        <f t="shared" si="81"/>
        <v>0</v>
      </c>
      <c r="D356" s="173"/>
      <c r="E356" s="173"/>
      <c r="F356" s="173"/>
      <c r="G356" s="992">
        <f>G202*$E202</f>
        <v>0</v>
      </c>
      <c r="H356" s="992">
        <f t="shared" si="82"/>
        <v>0</v>
      </c>
      <c r="I356" s="992">
        <f t="shared" si="82"/>
        <v>0</v>
      </c>
      <c r="J356" s="992">
        <f t="shared" si="82"/>
        <v>0</v>
      </c>
      <c r="K356" s="992">
        <f t="shared" si="82"/>
        <v>0</v>
      </c>
      <c r="L356" s="992">
        <f t="shared" si="82"/>
        <v>0</v>
      </c>
      <c r="M356" s="992">
        <f t="shared" si="82"/>
        <v>0</v>
      </c>
      <c r="N356" s="171"/>
      <c r="O356" s="541"/>
    </row>
    <row r="357" spans="1:15" outlineLevel="1">
      <c r="A357" s="740">
        <f>ROW()</f>
        <v>357</v>
      </c>
      <c r="B357" s="299" t="str">
        <f>$B$203</f>
        <v>Grade Level Teacher</v>
      </c>
      <c r="C357" s="173">
        <f t="shared" si="81"/>
        <v>0</v>
      </c>
      <c r="D357" s="173"/>
      <c r="E357" s="173"/>
      <c r="F357" s="173"/>
      <c r="G357" s="992">
        <f>G203*$E203</f>
        <v>0</v>
      </c>
      <c r="H357" s="992">
        <f t="shared" si="82"/>
        <v>0</v>
      </c>
      <c r="I357" s="992">
        <f t="shared" si="82"/>
        <v>0</v>
      </c>
      <c r="J357" s="992">
        <f t="shared" si="82"/>
        <v>0</v>
      </c>
      <c r="K357" s="992">
        <f t="shared" si="82"/>
        <v>0</v>
      </c>
      <c r="L357" s="992">
        <f t="shared" si="82"/>
        <v>0</v>
      </c>
      <c r="M357" s="992">
        <f t="shared" si="82"/>
        <v>0</v>
      </c>
      <c r="N357" s="171"/>
      <c r="O357" s="541"/>
    </row>
    <row r="358" spans="1:15" outlineLevel="1">
      <c r="A358" s="740">
        <f>ROW()</f>
        <v>358</v>
      </c>
      <c r="B358" s="299"/>
      <c r="C358" s="173">
        <f t="shared" si="81"/>
        <v>0</v>
      </c>
      <c r="D358" s="173"/>
      <c r="E358" s="173"/>
      <c r="F358" s="173"/>
      <c r="G358" s="992"/>
      <c r="H358" s="992"/>
      <c r="I358" s="992"/>
      <c r="J358" s="992"/>
      <c r="K358" s="992"/>
      <c r="L358" s="992"/>
      <c r="M358" s="992"/>
      <c r="N358" s="174"/>
      <c r="O358" s="541"/>
    </row>
    <row r="359" spans="1:15" outlineLevel="1">
      <c r="A359" s="740">
        <f>ROW()</f>
        <v>359</v>
      </c>
      <c r="B359" s="299" t="str">
        <f>$B$205</f>
        <v>Language Teacher</v>
      </c>
      <c r="C359" s="173">
        <f t="shared" si="81"/>
        <v>294000</v>
      </c>
      <c r="D359" s="173"/>
      <c r="E359" s="173"/>
      <c r="F359" s="173"/>
      <c r="G359" s="992">
        <f>G205*$E205</f>
        <v>0</v>
      </c>
      <c r="H359" s="992">
        <f t="shared" ref="H359:M363" si="83">(H205*$E205)</f>
        <v>49000</v>
      </c>
      <c r="I359" s="992">
        <f t="shared" si="83"/>
        <v>49000</v>
      </c>
      <c r="J359" s="992">
        <f t="shared" si="83"/>
        <v>49000</v>
      </c>
      <c r="K359" s="992">
        <f t="shared" si="83"/>
        <v>49000</v>
      </c>
      <c r="L359" s="992">
        <f t="shared" si="83"/>
        <v>49000</v>
      </c>
      <c r="M359" s="992">
        <f t="shared" si="83"/>
        <v>49000</v>
      </c>
      <c r="N359" s="171"/>
      <c r="O359" s="541"/>
    </row>
    <row r="360" spans="1:15" outlineLevel="1">
      <c r="A360" s="740">
        <f>ROW()</f>
        <v>360</v>
      </c>
      <c r="B360" s="299" t="str">
        <f>$B$206</f>
        <v>Art Teacher</v>
      </c>
      <c r="C360" s="173">
        <f t="shared" si="81"/>
        <v>0</v>
      </c>
      <c r="D360" s="173"/>
      <c r="E360" s="173"/>
      <c r="F360" s="173"/>
      <c r="G360" s="992">
        <f>G206*$E206</f>
        <v>0</v>
      </c>
      <c r="H360" s="992">
        <f t="shared" si="83"/>
        <v>0</v>
      </c>
      <c r="I360" s="992">
        <f t="shared" si="83"/>
        <v>0</v>
      </c>
      <c r="J360" s="992">
        <f t="shared" si="83"/>
        <v>0</v>
      </c>
      <c r="K360" s="992">
        <f t="shared" si="83"/>
        <v>0</v>
      </c>
      <c r="L360" s="992">
        <f t="shared" si="83"/>
        <v>0</v>
      </c>
      <c r="M360" s="992">
        <f t="shared" si="83"/>
        <v>0</v>
      </c>
      <c r="N360" s="171"/>
      <c r="O360" s="541"/>
    </row>
    <row r="361" spans="1:15" outlineLevel="1">
      <c r="A361" s="740">
        <f>ROW()</f>
        <v>361</v>
      </c>
      <c r="B361" s="299" t="str">
        <f>$B$207</f>
        <v>Grade Level Teacher</v>
      </c>
      <c r="C361" s="173">
        <f t="shared" si="81"/>
        <v>0</v>
      </c>
      <c r="D361" s="173"/>
      <c r="E361" s="173"/>
      <c r="F361" s="173"/>
      <c r="G361" s="992">
        <f>G207*$E207</f>
        <v>0</v>
      </c>
      <c r="H361" s="992">
        <f t="shared" si="83"/>
        <v>0</v>
      </c>
      <c r="I361" s="992">
        <f t="shared" si="83"/>
        <v>0</v>
      </c>
      <c r="J361" s="992">
        <f t="shared" si="83"/>
        <v>0</v>
      </c>
      <c r="K361" s="992">
        <f t="shared" si="83"/>
        <v>0</v>
      </c>
      <c r="L361" s="992">
        <f t="shared" si="83"/>
        <v>0</v>
      </c>
      <c r="M361" s="992">
        <f t="shared" si="83"/>
        <v>0</v>
      </c>
      <c r="N361" s="171"/>
      <c r="O361" s="541"/>
    </row>
    <row r="362" spans="1:15" outlineLevel="1">
      <c r="A362" s="740">
        <f>ROW()</f>
        <v>362</v>
      </c>
      <c r="B362" s="299" t="str">
        <f>$B$208</f>
        <v>Grade Level Teacher</v>
      </c>
      <c r="C362" s="173">
        <f t="shared" si="81"/>
        <v>0</v>
      </c>
      <c r="D362" s="173"/>
      <c r="E362" s="173"/>
      <c r="F362" s="173"/>
      <c r="G362" s="992">
        <f>G208*$E208</f>
        <v>0</v>
      </c>
      <c r="H362" s="992">
        <f t="shared" si="83"/>
        <v>0</v>
      </c>
      <c r="I362" s="992">
        <f t="shared" si="83"/>
        <v>0</v>
      </c>
      <c r="J362" s="992">
        <f t="shared" si="83"/>
        <v>0</v>
      </c>
      <c r="K362" s="992">
        <f t="shared" si="83"/>
        <v>0</v>
      </c>
      <c r="L362" s="992">
        <f t="shared" si="83"/>
        <v>0</v>
      </c>
      <c r="M362" s="992">
        <f t="shared" si="83"/>
        <v>0</v>
      </c>
      <c r="N362" s="171"/>
      <c r="O362" s="541"/>
    </row>
    <row r="363" spans="1:15" outlineLevel="1">
      <c r="A363" s="740">
        <f>ROW()</f>
        <v>363</v>
      </c>
      <c r="B363" s="299" t="str">
        <f>$B$209</f>
        <v>Grade Level Teacher</v>
      </c>
      <c r="C363" s="173">
        <f t="shared" si="81"/>
        <v>0</v>
      </c>
      <c r="D363" s="173"/>
      <c r="E363" s="173"/>
      <c r="F363" s="173"/>
      <c r="G363" s="992">
        <f>G209*$E209</f>
        <v>0</v>
      </c>
      <c r="H363" s="992">
        <f t="shared" si="83"/>
        <v>0</v>
      </c>
      <c r="I363" s="992">
        <f t="shared" si="83"/>
        <v>0</v>
      </c>
      <c r="J363" s="992">
        <f t="shared" si="83"/>
        <v>0</v>
      </c>
      <c r="K363" s="992">
        <f t="shared" si="83"/>
        <v>0</v>
      </c>
      <c r="L363" s="992">
        <f t="shared" si="83"/>
        <v>0</v>
      </c>
      <c r="M363" s="992">
        <f t="shared" si="83"/>
        <v>0</v>
      </c>
      <c r="N363" s="171"/>
      <c r="O363" s="541"/>
    </row>
    <row r="364" spans="1:15" outlineLevel="1">
      <c r="A364" s="740">
        <f>ROW()</f>
        <v>364</v>
      </c>
      <c r="B364" s="299"/>
      <c r="C364" s="173">
        <f t="shared" si="81"/>
        <v>0</v>
      </c>
      <c r="D364" s="173"/>
      <c r="E364" s="173"/>
      <c r="F364" s="173"/>
      <c r="G364" s="992"/>
      <c r="H364" s="992"/>
      <c r="I364" s="992"/>
      <c r="J364" s="992"/>
      <c r="K364" s="992"/>
      <c r="L364" s="992"/>
      <c r="M364" s="992"/>
      <c r="N364" s="174"/>
      <c r="O364" s="541"/>
    </row>
    <row r="365" spans="1:15" outlineLevel="1">
      <c r="A365" s="740">
        <f>ROW()</f>
        <v>365</v>
      </c>
      <c r="B365" s="299" t="str">
        <f>$B$211</f>
        <v xml:space="preserve">Licensed Behavioral Specialist </v>
      </c>
      <c r="C365" s="173">
        <f t="shared" si="81"/>
        <v>300000</v>
      </c>
      <c r="D365" s="173"/>
      <c r="E365" s="173"/>
      <c r="F365" s="173"/>
      <c r="G365" s="992">
        <f>G211*$E211</f>
        <v>0</v>
      </c>
      <c r="H365" s="992">
        <f t="shared" ref="H365:M369" si="84">(H211*$E211)</f>
        <v>50000</v>
      </c>
      <c r="I365" s="992">
        <f t="shared" si="84"/>
        <v>50000</v>
      </c>
      <c r="J365" s="992">
        <f t="shared" si="84"/>
        <v>50000</v>
      </c>
      <c r="K365" s="992">
        <f t="shared" si="84"/>
        <v>50000</v>
      </c>
      <c r="L365" s="992">
        <f t="shared" si="84"/>
        <v>50000</v>
      </c>
      <c r="M365" s="992">
        <f t="shared" si="84"/>
        <v>50000</v>
      </c>
      <c r="N365" s="171"/>
      <c r="O365" s="541"/>
    </row>
    <row r="366" spans="1:15" outlineLevel="1">
      <c r="A366" s="740">
        <f>ROW()</f>
        <v>366</v>
      </c>
      <c r="B366" s="299" t="str">
        <f>$B$212</f>
        <v xml:space="preserve">Grade Level Teacher </v>
      </c>
      <c r="C366" s="173">
        <f t="shared" si="81"/>
        <v>0</v>
      </c>
      <c r="D366" s="173"/>
      <c r="E366" s="173"/>
      <c r="F366" s="173"/>
      <c r="G366" s="992">
        <f>G212*$E212</f>
        <v>0</v>
      </c>
      <c r="H366" s="992">
        <f t="shared" si="84"/>
        <v>0</v>
      </c>
      <c r="I366" s="992">
        <f t="shared" si="84"/>
        <v>0</v>
      </c>
      <c r="J366" s="992">
        <f t="shared" si="84"/>
        <v>0</v>
      </c>
      <c r="K366" s="992">
        <f t="shared" si="84"/>
        <v>0</v>
      </c>
      <c r="L366" s="992">
        <f t="shared" si="84"/>
        <v>0</v>
      </c>
      <c r="M366" s="992">
        <f t="shared" si="84"/>
        <v>0</v>
      </c>
      <c r="N366" s="171"/>
      <c r="O366" s="541"/>
    </row>
    <row r="367" spans="1:15" outlineLevel="1">
      <c r="A367" s="740">
        <f>ROW()</f>
        <v>367</v>
      </c>
      <c r="B367" s="299" t="str">
        <f>$B$213</f>
        <v>Grade Level Teacher</v>
      </c>
      <c r="C367" s="173">
        <f t="shared" si="81"/>
        <v>0</v>
      </c>
      <c r="D367" s="173"/>
      <c r="E367" s="173"/>
      <c r="F367" s="173"/>
      <c r="G367" s="992">
        <f>G213*$E213</f>
        <v>0</v>
      </c>
      <c r="H367" s="992">
        <f t="shared" si="84"/>
        <v>0</v>
      </c>
      <c r="I367" s="992">
        <f t="shared" si="84"/>
        <v>0</v>
      </c>
      <c r="J367" s="992">
        <f t="shared" si="84"/>
        <v>0</v>
      </c>
      <c r="K367" s="992">
        <f t="shared" si="84"/>
        <v>0</v>
      </c>
      <c r="L367" s="992">
        <f t="shared" si="84"/>
        <v>0</v>
      </c>
      <c r="M367" s="992">
        <f t="shared" si="84"/>
        <v>0</v>
      </c>
      <c r="N367" s="171"/>
      <c r="O367" s="541"/>
    </row>
    <row r="368" spans="1:15" outlineLevel="1">
      <c r="A368" s="740">
        <f>ROW()</f>
        <v>368</v>
      </c>
      <c r="B368" s="299" t="str">
        <f>$B$214</f>
        <v>Grade Level Teacher</v>
      </c>
      <c r="C368" s="173">
        <f t="shared" si="81"/>
        <v>0</v>
      </c>
      <c r="D368" s="173"/>
      <c r="E368" s="173"/>
      <c r="F368" s="173"/>
      <c r="G368" s="992">
        <f>G214*$E214</f>
        <v>0</v>
      </c>
      <c r="H368" s="992">
        <f t="shared" si="84"/>
        <v>0</v>
      </c>
      <c r="I368" s="992">
        <f t="shared" si="84"/>
        <v>0</v>
      </c>
      <c r="J368" s="992">
        <f t="shared" si="84"/>
        <v>0</v>
      </c>
      <c r="K368" s="992">
        <f t="shared" si="84"/>
        <v>0</v>
      </c>
      <c r="L368" s="992">
        <f t="shared" si="84"/>
        <v>0</v>
      </c>
      <c r="M368" s="992">
        <f t="shared" si="84"/>
        <v>0</v>
      </c>
      <c r="N368" s="171"/>
      <c r="O368" s="541"/>
    </row>
    <row r="369" spans="1:15" outlineLevel="1">
      <c r="A369" s="740">
        <f>ROW()</f>
        <v>369</v>
      </c>
      <c r="B369" s="299" t="str">
        <f>$B$215</f>
        <v>Grade Level Teacher</v>
      </c>
      <c r="C369" s="173">
        <f t="shared" si="81"/>
        <v>0</v>
      </c>
      <c r="D369" s="173"/>
      <c r="E369" s="173"/>
      <c r="F369" s="173"/>
      <c r="G369" s="992">
        <f>G215*$E215</f>
        <v>0</v>
      </c>
      <c r="H369" s="992">
        <f t="shared" si="84"/>
        <v>0</v>
      </c>
      <c r="I369" s="992">
        <f t="shared" si="84"/>
        <v>0</v>
      </c>
      <c r="J369" s="992">
        <f t="shared" si="84"/>
        <v>0</v>
      </c>
      <c r="K369" s="992">
        <f t="shared" si="84"/>
        <v>0</v>
      </c>
      <c r="L369" s="992">
        <f t="shared" si="84"/>
        <v>0</v>
      </c>
      <c r="M369" s="992">
        <f t="shared" si="84"/>
        <v>0</v>
      </c>
      <c r="N369" s="171"/>
      <c r="O369" s="541"/>
    </row>
    <row r="370" spans="1:15" outlineLevel="1">
      <c r="A370" s="740">
        <f>ROW()</f>
        <v>370</v>
      </c>
      <c r="B370" s="299"/>
      <c r="C370" s="173">
        <f t="shared" si="81"/>
        <v>0</v>
      </c>
      <c r="D370" s="173"/>
      <c r="E370" s="173"/>
      <c r="F370" s="173"/>
      <c r="G370" s="992"/>
      <c r="H370" s="992"/>
      <c r="I370" s="992"/>
      <c r="J370" s="992"/>
      <c r="K370" s="992"/>
      <c r="L370" s="992"/>
      <c r="M370" s="992"/>
      <c r="N370" s="171"/>
      <c r="O370" s="541"/>
    </row>
    <row r="371" spans="1:15" outlineLevel="1">
      <c r="A371" s="740">
        <f>ROW()</f>
        <v>371</v>
      </c>
      <c r="B371" s="299" t="str">
        <f>$B$217</f>
        <v>Grade Level Teacher</v>
      </c>
      <c r="C371" s="173">
        <f t="shared" si="81"/>
        <v>0</v>
      </c>
      <c r="D371" s="173"/>
      <c r="E371" s="173"/>
      <c r="F371" s="173"/>
      <c r="G371" s="992">
        <f>G217*$E217</f>
        <v>0</v>
      </c>
      <c r="H371" s="992">
        <f t="shared" ref="H371:M375" si="85">(H217*$E217)</f>
        <v>0</v>
      </c>
      <c r="I371" s="992">
        <f t="shared" si="85"/>
        <v>0</v>
      </c>
      <c r="J371" s="992">
        <f t="shared" si="85"/>
        <v>0</v>
      </c>
      <c r="K371" s="992">
        <f t="shared" si="85"/>
        <v>0</v>
      </c>
      <c r="L371" s="992">
        <f t="shared" si="85"/>
        <v>0</v>
      </c>
      <c r="M371" s="992">
        <f t="shared" si="85"/>
        <v>0</v>
      </c>
      <c r="N371" s="171"/>
      <c r="O371" s="541"/>
    </row>
    <row r="372" spans="1:15" outlineLevel="1">
      <c r="A372" s="740">
        <f>ROW()</f>
        <v>372</v>
      </c>
      <c r="B372" s="299" t="str">
        <f>$B$218</f>
        <v>Grade Level Teacher</v>
      </c>
      <c r="C372" s="173">
        <f t="shared" si="81"/>
        <v>0</v>
      </c>
      <c r="D372" s="173"/>
      <c r="E372" s="173"/>
      <c r="F372" s="173"/>
      <c r="G372" s="992">
        <f>G218*$E218</f>
        <v>0</v>
      </c>
      <c r="H372" s="992">
        <f t="shared" si="85"/>
        <v>0</v>
      </c>
      <c r="I372" s="992">
        <f t="shared" si="85"/>
        <v>0</v>
      </c>
      <c r="J372" s="992">
        <f t="shared" si="85"/>
        <v>0</v>
      </c>
      <c r="K372" s="992">
        <f t="shared" si="85"/>
        <v>0</v>
      </c>
      <c r="L372" s="992">
        <f t="shared" si="85"/>
        <v>0</v>
      </c>
      <c r="M372" s="992">
        <f t="shared" si="85"/>
        <v>0</v>
      </c>
      <c r="N372" s="171"/>
      <c r="O372" s="541"/>
    </row>
    <row r="373" spans="1:15" outlineLevel="1">
      <c r="A373" s="740">
        <f>ROW()</f>
        <v>373</v>
      </c>
      <c r="B373" s="299" t="str">
        <f>$B$219</f>
        <v>Grade Level Teacher</v>
      </c>
      <c r="C373" s="173">
        <f t="shared" si="81"/>
        <v>0</v>
      </c>
      <c r="D373" s="173"/>
      <c r="E373" s="173"/>
      <c r="F373" s="173"/>
      <c r="G373" s="992">
        <f>G219*$E219</f>
        <v>0</v>
      </c>
      <c r="H373" s="992">
        <f t="shared" si="85"/>
        <v>0</v>
      </c>
      <c r="I373" s="992">
        <f t="shared" si="85"/>
        <v>0</v>
      </c>
      <c r="J373" s="992">
        <f t="shared" si="85"/>
        <v>0</v>
      </c>
      <c r="K373" s="992">
        <f t="shared" si="85"/>
        <v>0</v>
      </c>
      <c r="L373" s="992">
        <f t="shared" si="85"/>
        <v>0</v>
      </c>
      <c r="M373" s="992">
        <f t="shared" si="85"/>
        <v>0</v>
      </c>
      <c r="N373" s="171"/>
      <c r="O373" s="541"/>
    </row>
    <row r="374" spans="1:15" outlineLevel="1">
      <c r="A374" s="740">
        <f>ROW()</f>
        <v>374</v>
      </c>
      <c r="B374" s="299" t="str">
        <f>$B$220</f>
        <v>Grade Level Teacher</v>
      </c>
      <c r="C374" s="173">
        <f t="shared" si="81"/>
        <v>0</v>
      </c>
      <c r="D374" s="173"/>
      <c r="E374" s="173"/>
      <c r="F374" s="173"/>
      <c r="G374" s="992">
        <f>G220*$E220</f>
        <v>0</v>
      </c>
      <c r="H374" s="992">
        <f t="shared" si="85"/>
        <v>0</v>
      </c>
      <c r="I374" s="992">
        <f t="shared" si="85"/>
        <v>0</v>
      </c>
      <c r="J374" s="992">
        <f t="shared" si="85"/>
        <v>0</v>
      </c>
      <c r="K374" s="992">
        <f t="shared" si="85"/>
        <v>0</v>
      </c>
      <c r="L374" s="992">
        <f t="shared" si="85"/>
        <v>0</v>
      </c>
      <c r="M374" s="992">
        <f t="shared" si="85"/>
        <v>0</v>
      </c>
      <c r="N374" s="171"/>
      <c r="O374" s="541"/>
    </row>
    <row r="375" spans="1:15" outlineLevel="1">
      <c r="A375" s="740">
        <f>ROW()</f>
        <v>375</v>
      </c>
      <c r="B375" s="299" t="str">
        <f>$B$221</f>
        <v>Grade Level Teacher</v>
      </c>
      <c r="C375" s="173">
        <f t="shared" si="81"/>
        <v>0</v>
      </c>
      <c r="D375" s="173"/>
      <c r="E375" s="173"/>
      <c r="F375" s="173"/>
      <c r="G375" s="992">
        <f>G221*$E221</f>
        <v>0</v>
      </c>
      <c r="H375" s="992">
        <f t="shared" si="85"/>
        <v>0</v>
      </c>
      <c r="I375" s="992">
        <f t="shared" si="85"/>
        <v>0</v>
      </c>
      <c r="J375" s="992">
        <f t="shared" si="85"/>
        <v>0</v>
      </c>
      <c r="K375" s="992">
        <f t="shared" si="85"/>
        <v>0</v>
      </c>
      <c r="L375" s="992">
        <f t="shared" si="85"/>
        <v>0</v>
      </c>
      <c r="M375" s="992">
        <f t="shared" si="85"/>
        <v>0</v>
      </c>
      <c r="N375" s="171"/>
      <c r="O375" s="541"/>
    </row>
    <row r="376" spans="1:15" outlineLevel="1">
      <c r="A376" s="740">
        <f>ROW()</f>
        <v>376</v>
      </c>
      <c r="B376" s="299"/>
      <c r="C376" s="173">
        <f t="shared" si="81"/>
        <v>0</v>
      </c>
      <c r="D376" s="173"/>
      <c r="E376" s="173"/>
      <c r="F376" s="173"/>
      <c r="G376" s="992"/>
      <c r="H376" s="992"/>
      <c r="I376" s="992"/>
      <c r="J376" s="992"/>
      <c r="K376" s="992"/>
      <c r="L376" s="992"/>
      <c r="M376" s="992"/>
      <c r="N376" s="171"/>
      <c r="O376" s="541"/>
    </row>
    <row r="377" spans="1:15" outlineLevel="1">
      <c r="A377" s="740">
        <f>ROW()</f>
        <v>377</v>
      </c>
      <c r="B377" s="299" t="str">
        <f>$B$223</f>
        <v>Grade Level Teacher</v>
      </c>
      <c r="C377" s="173">
        <f t="shared" si="81"/>
        <v>0</v>
      </c>
      <c r="D377" s="173"/>
      <c r="E377" s="173"/>
      <c r="F377" s="173"/>
      <c r="G377" s="992">
        <f>G223*$E223</f>
        <v>0</v>
      </c>
      <c r="H377" s="992">
        <f t="shared" ref="H377:M381" si="86">(H223*$E223)</f>
        <v>0</v>
      </c>
      <c r="I377" s="992">
        <f t="shared" si="86"/>
        <v>0</v>
      </c>
      <c r="J377" s="992">
        <f t="shared" si="86"/>
        <v>0</v>
      </c>
      <c r="K377" s="992">
        <f t="shared" si="86"/>
        <v>0</v>
      </c>
      <c r="L377" s="992">
        <f t="shared" si="86"/>
        <v>0</v>
      </c>
      <c r="M377" s="992">
        <f t="shared" si="86"/>
        <v>0</v>
      </c>
      <c r="N377" s="171"/>
      <c r="O377" s="541"/>
    </row>
    <row r="378" spans="1:15" outlineLevel="1">
      <c r="A378" s="740">
        <f>ROW()</f>
        <v>378</v>
      </c>
      <c r="B378" s="299" t="str">
        <f>$B$224</f>
        <v>Grade Level Teacher</v>
      </c>
      <c r="C378" s="173">
        <f t="shared" si="81"/>
        <v>0</v>
      </c>
      <c r="D378" s="173"/>
      <c r="E378" s="173"/>
      <c r="F378" s="173"/>
      <c r="G378" s="992">
        <f>G224*$E224</f>
        <v>0</v>
      </c>
      <c r="H378" s="992">
        <f t="shared" si="86"/>
        <v>0</v>
      </c>
      <c r="I378" s="992">
        <f t="shared" si="86"/>
        <v>0</v>
      </c>
      <c r="J378" s="992">
        <f t="shared" si="86"/>
        <v>0</v>
      </c>
      <c r="K378" s="992">
        <f t="shared" si="86"/>
        <v>0</v>
      </c>
      <c r="L378" s="992">
        <f t="shared" si="86"/>
        <v>0</v>
      </c>
      <c r="M378" s="992">
        <f t="shared" si="86"/>
        <v>0</v>
      </c>
      <c r="N378" s="171"/>
      <c r="O378" s="541"/>
    </row>
    <row r="379" spans="1:15" outlineLevel="1">
      <c r="A379" s="740">
        <f>ROW()</f>
        <v>379</v>
      </c>
      <c r="B379" s="299" t="str">
        <f>$B$225</f>
        <v>Grade Level Teacher</v>
      </c>
      <c r="C379" s="173">
        <f t="shared" si="81"/>
        <v>0</v>
      </c>
      <c r="D379" s="173"/>
      <c r="E379" s="173"/>
      <c r="F379" s="173"/>
      <c r="G379" s="992">
        <f>G225*$E225</f>
        <v>0</v>
      </c>
      <c r="H379" s="992">
        <f t="shared" si="86"/>
        <v>0</v>
      </c>
      <c r="I379" s="992">
        <f t="shared" si="86"/>
        <v>0</v>
      </c>
      <c r="J379" s="992">
        <f t="shared" si="86"/>
        <v>0</v>
      </c>
      <c r="K379" s="992">
        <f t="shared" si="86"/>
        <v>0</v>
      </c>
      <c r="L379" s="992">
        <f t="shared" si="86"/>
        <v>0</v>
      </c>
      <c r="M379" s="992">
        <f t="shared" si="86"/>
        <v>0</v>
      </c>
      <c r="N379" s="171"/>
      <c r="O379" s="541"/>
    </row>
    <row r="380" spans="1:15" outlineLevel="1">
      <c r="A380" s="740">
        <f>ROW()</f>
        <v>380</v>
      </c>
      <c r="B380" s="299" t="str">
        <f>$B$226</f>
        <v>Grade Level Teacher</v>
      </c>
      <c r="C380" s="173">
        <f t="shared" si="81"/>
        <v>0</v>
      </c>
      <c r="D380" s="173"/>
      <c r="E380" s="173"/>
      <c r="F380" s="173"/>
      <c r="G380" s="992">
        <f>G226*$E226</f>
        <v>0</v>
      </c>
      <c r="H380" s="992">
        <f t="shared" si="86"/>
        <v>0</v>
      </c>
      <c r="I380" s="992">
        <f t="shared" si="86"/>
        <v>0</v>
      </c>
      <c r="J380" s="992">
        <f t="shared" si="86"/>
        <v>0</v>
      </c>
      <c r="K380" s="992">
        <f t="shared" si="86"/>
        <v>0</v>
      </c>
      <c r="L380" s="992">
        <f t="shared" si="86"/>
        <v>0</v>
      </c>
      <c r="M380" s="992">
        <f t="shared" si="86"/>
        <v>0</v>
      </c>
      <c r="N380" s="171"/>
      <c r="O380" s="541"/>
    </row>
    <row r="381" spans="1:15" outlineLevel="1">
      <c r="A381" s="740">
        <f>ROW()</f>
        <v>381</v>
      </c>
      <c r="B381" s="299" t="str">
        <f>$B$227</f>
        <v>Grade Level Teacher</v>
      </c>
      <c r="C381" s="173">
        <f t="shared" si="81"/>
        <v>0</v>
      </c>
      <c r="D381" s="173"/>
      <c r="E381" s="173"/>
      <c r="F381" s="173"/>
      <c r="G381" s="992">
        <f>G227*$E227</f>
        <v>0</v>
      </c>
      <c r="H381" s="992">
        <f t="shared" si="86"/>
        <v>0</v>
      </c>
      <c r="I381" s="992">
        <f t="shared" si="86"/>
        <v>0</v>
      </c>
      <c r="J381" s="992">
        <f t="shared" si="86"/>
        <v>0</v>
      </c>
      <c r="K381" s="992">
        <f t="shared" si="86"/>
        <v>0</v>
      </c>
      <c r="L381" s="992">
        <f t="shared" si="86"/>
        <v>0</v>
      </c>
      <c r="M381" s="992">
        <f t="shared" si="86"/>
        <v>0</v>
      </c>
      <c r="N381" s="171"/>
      <c r="O381" s="541"/>
    </row>
    <row r="382" spans="1:15" outlineLevel="1">
      <c r="A382" s="740">
        <f>ROW()</f>
        <v>382</v>
      </c>
      <c r="B382" s="175"/>
      <c r="C382" s="173"/>
      <c r="D382" s="173"/>
      <c r="E382" s="173"/>
      <c r="F382" s="173"/>
      <c r="G382" s="1477"/>
      <c r="H382" s="1477"/>
      <c r="I382" s="1477"/>
      <c r="J382" s="1477"/>
      <c r="K382" s="1477"/>
      <c r="L382" s="1477"/>
      <c r="M382" s="1477"/>
      <c r="N382" s="174"/>
      <c r="O382" s="541"/>
    </row>
    <row r="383" spans="1:15" ht="15.75" outlineLevel="1">
      <c r="A383" s="740">
        <f>ROW()</f>
        <v>383</v>
      </c>
      <c r="B383" s="1478" t="s">
        <v>521</v>
      </c>
      <c r="C383" s="1479">
        <f>SUM(G383:M383)</f>
        <v>5584000</v>
      </c>
      <c r="D383" s="1478"/>
      <c r="E383" s="1478"/>
      <c r="F383" s="1478"/>
      <c r="G383" s="1480">
        <f t="shared" ref="G383:M383" si="87">SUM(G288:G381)</f>
        <v>0</v>
      </c>
      <c r="H383" s="1480">
        <f t="shared" si="87"/>
        <v>598000</v>
      </c>
      <c r="I383" s="1480">
        <f>SUM(I288:I381)</f>
        <v>748000</v>
      </c>
      <c r="J383" s="1480">
        <f t="shared" si="87"/>
        <v>947000</v>
      </c>
      <c r="K383" s="1480">
        <f t="shared" si="87"/>
        <v>1097000</v>
      </c>
      <c r="L383" s="1480">
        <f t="shared" si="87"/>
        <v>1097000</v>
      </c>
      <c r="M383" s="1480">
        <f t="shared" si="87"/>
        <v>1097000</v>
      </c>
      <c r="O383" s="541"/>
    </row>
    <row r="384" spans="1:15" outlineLevel="1">
      <c r="A384" s="740">
        <f>ROW()</f>
        <v>384</v>
      </c>
      <c r="B384" s="84"/>
      <c r="C384" s="89"/>
      <c r="D384" s="89"/>
      <c r="E384" s="89"/>
      <c r="F384" s="89"/>
      <c r="G384" s="949"/>
      <c r="H384" s="794"/>
      <c r="I384" s="794"/>
      <c r="J384" s="794"/>
      <c r="K384" s="794"/>
      <c r="L384" s="794"/>
      <c r="M384" s="794"/>
      <c r="O384" s="541"/>
    </row>
    <row r="385" spans="1:15" outlineLevel="1">
      <c r="A385" s="740">
        <f>ROW()</f>
        <v>385</v>
      </c>
      <c r="B385" s="1466" t="s">
        <v>390</v>
      </c>
      <c r="C385" s="1467"/>
      <c r="D385" s="1468"/>
      <c r="E385" s="1468"/>
      <c r="F385" s="1468"/>
      <c r="G385" s="1481">
        <v>0</v>
      </c>
      <c r="H385" s="1481">
        <v>0</v>
      </c>
      <c r="I385" s="1481">
        <v>0</v>
      </c>
      <c r="J385" s="1481">
        <v>0</v>
      </c>
      <c r="K385" s="1481">
        <v>0</v>
      </c>
      <c r="L385" s="1481">
        <v>0</v>
      </c>
      <c r="M385" s="1481">
        <v>0</v>
      </c>
      <c r="O385" s="541"/>
    </row>
    <row r="386" spans="1:15" outlineLevel="1">
      <c r="A386" s="740">
        <f>ROW()</f>
        <v>386</v>
      </c>
      <c r="B386" s="84"/>
      <c r="C386" s="89"/>
      <c r="D386" s="89"/>
      <c r="E386" s="89"/>
      <c r="F386" s="89"/>
      <c r="G386" s="1034"/>
      <c r="H386" s="1482"/>
      <c r="I386" s="1482"/>
      <c r="J386" s="1482"/>
      <c r="K386" s="1482"/>
      <c r="L386" s="1482"/>
      <c r="M386" s="1482"/>
      <c r="O386" s="541"/>
    </row>
    <row r="387" spans="1:15" ht="15.75" outlineLevel="1">
      <c r="A387" s="740">
        <f>ROW()</f>
        <v>387</v>
      </c>
      <c r="B387" s="1472" t="s">
        <v>455</v>
      </c>
      <c r="C387" s="1473"/>
      <c r="D387" s="1472"/>
      <c r="E387" s="1472"/>
      <c r="F387" s="1472"/>
      <c r="G387" s="1483">
        <f>SUM(G383,G274,G249,G262,G286,G385)*$C$63</f>
        <v>0</v>
      </c>
      <c r="H387" s="1483">
        <f>SUM(H383,H274,H249,H262,H286,H385)*$C$63</f>
        <v>9680</v>
      </c>
      <c r="I387" s="1483">
        <f t="shared" ref="I387:M387" si="88">SUM(I383,I274,I249,I262,I286,I385)*$C$63</f>
        <v>11680</v>
      </c>
      <c r="J387" s="1483">
        <f t="shared" si="88"/>
        <v>15070</v>
      </c>
      <c r="K387" s="1483">
        <f t="shared" si="88"/>
        <v>17070</v>
      </c>
      <c r="L387" s="1483">
        <f t="shared" si="88"/>
        <v>17070</v>
      </c>
      <c r="M387" s="1483">
        <f t="shared" si="88"/>
        <v>17070</v>
      </c>
      <c r="O387" s="541"/>
    </row>
    <row r="388" spans="1:15" ht="15.75" outlineLevel="1" thickBot="1">
      <c r="A388" s="740">
        <f>ROW()</f>
        <v>388</v>
      </c>
      <c r="B388" s="84"/>
      <c r="C388" s="89"/>
      <c r="D388" s="89"/>
      <c r="E388" s="89"/>
      <c r="F388" s="89"/>
      <c r="G388" s="949"/>
      <c r="H388" s="949"/>
      <c r="I388" s="949"/>
      <c r="J388" s="949"/>
      <c r="K388" s="949"/>
      <c r="L388" s="949"/>
      <c r="M388" s="949"/>
      <c r="O388" s="541"/>
    </row>
    <row r="389" spans="1:15" ht="15.75" thickBot="1">
      <c r="A389" s="740">
        <f>ROW()</f>
        <v>389</v>
      </c>
      <c r="B389" s="1447" t="s">
        <v>422</v>
      </c>
      <c r="C389" s="1448">
        <f>SUM(G389:M389)</f>
        <v>8851640</v>
      </c>
      <c r="D389" s="1476"/>
      <c r="E389" s="1476"/>
      <c r="F389" s="1476"/>
      <c r="G389" s="1449">
        <f t="shared" ref="G389:M389" si="89">G383+G274+G249+G262+G286+G385+G387</f>
        <v>0</v>
      </c>
      <c r="H389" s="1449">
        <f t="shared" si="89"/>
        <v>977680</v>
      </c>
      <c r="I389" s="1449">
        <f t="shared" si="89"/>
        <v>1179680</v>
      </c>
      <c r="J389" s="1449">
        <f t="shared" si="89"/>
        <v>1522070</v>
      </c>
      <c r="K389" s="1449">
        <f t="shared" si="89"/>
        <v>1724070</v>
      </c>
      <c r="L389" s="1449">
        <f t="shared" si="89"/>
        <v>1724070</v>
      </c>
      <c r="M389" s="1449">
        <f t="shared" si="89"/>
        <v>1724070</v>
      </c>
      <c r="N389" s="84"/>
      <c r="O389" s="541"/>
    </row>
    <row r="390" spans="1:15">
      <c r="A390" s="740">
        <f>ROW()</f>
        <v>390</v>
      </c>
      <c r="B390" s="84"/>
      <c r="C390" s="214"/>
      <c r="D390" s="84"/>
      <c r="E390" s="84"/>
      <c r="F390" s="84"/>
      <c r="G390" s="1035"/>
      <c r="H390" s="1036"/>
      <c r="I390" s="1036"/>
      <c r="J390" s="1036"/>
      <c r="K390" s="1036"/>
      <c r="L390" s="1036"/>
      <c r="M390" s="1036"/>
      <c r="N390" s="89"/>
      <c r="O390" s="541"/>
    </row>
    <row r="391" spans="1:15" ht="15.75">
      <c r="A391" s="740">
        <f>ROW()</f>
        <v>391</v>
      </c>
      <c r="B391" s="1411" t="s">
        <v>423</v>
      </c>
      <c r="C391" s="1412"/>
      <c r="D391" s="1411"/>
      <c r="E391" s="1411"/>
      <c r="F391" s="1411"/>
      <c r="G391" s="1413"/>
      <c r="H391" s="1414"/>
      <c r="I391" s="1414"/>
      <c r="J391" s="1414"/>
      <c r="K391" s="1414"/>
      <c r="L391" s="1414"/>
      <c r="M391" s="1414"/>
      <c r="N391" s="317"/>
      <c r="O391" s="541"/>
    </row>
    <row r="392" spans="1:15" ht="15.75">
      <c r="A392" s="740">
        <f>ROW()</f>
        <v>392</v>
      </c>
      <c r="B392" s="175"/>
      <c r="C392" s="215"/>
      <c r="D392" s="175"/>
      <c r="E392" s="175"/>
      <c r="F392" s="175"/>
      <c r="G392" s="1035"/>
      <c r="H392" s="1036"/>
      <c r="I392" s="1036"/>
      <c r="J392" s="1036"/>
      <c r="K392" s="1036"/>
      <c r="L392" s="1036"/>
      <c r="M392" s="1036"/>
      <c r="N392" s="317"/>
      <c r="O392" s="541"/>
    </row>
    <row r="393" spans="1:15" ht="15.75">
      <c r="A393" s="740">
        <f>ROW()</f>
        <v>393</v>
      </c>
      <c r="B393" s="1472" t="s">
        <v>424</v>
      </c>
      <c r="C393" s="1473"/>
      <c r="D393" s="1472"/>
      <c r="E393" s="1472"/>
      <c r="F393" s="1472"/>
      <c r="G393" s="1474"/>
      <c r="H393" s="1475"/>
      <c r="I393" s="1475"/>
      <c r="J393" s="1475"/>
      <c r="K393" s="1475"/>
      <c r="L393" s="1475"/>
      <c r="M393" s="1475"/>
      <c r="N393" s="317"/>
      <c r="O393" s="541"/>
    </row>
    <row r="394" spans="1:15" ht="15.75">
      <c r="A394" s="740">
        <f>ROW()</f>
        <v>394</v>
      </c>
      <c r="B394" s="208" t="s">
        <v>522</v>
      </c>
      <c r="C394" s="295"/>
      <c r="D394" s="208"/>
      <c r="E394" s="205"/>
      <c r="F394" s="205"/>
      <c r="G394" s="1037">
        <f t="shared" ref="G394:M394" si="90">IFERROR((G21*$C$53*((1+$C$63)^(G$10-$G$10))),0)</f>
        <v>0</v>
      </c>
      <c r="H394" s="1386">
        <f t="shared" si="90"/>
        <v>82900.800000000003</v>
      </c>
      <c r="I394" s="1037">
        <f t="shared" si="90"/>
        <v>101357.136</v>
      </c>
      <c r="J394" s="1037">
        <f t="shared" si="90"/>
        <v>133527.00959999999</v>
      </c>
      <c r="K394" s="1037">
        <f t="shared" si="90"/>
        <v>152843.91698880002</v>
      </c>
      <c r="L394" s="1037">
        <f t="shared" si="90"/>
        <v>154372.356158688</v>
      </c>
      <c r="M394" s="1037">
        <f t="shared" si="90"/>
        <v>160501.84677087123</v>
      </c>
      <c r="N394" s="317"/>
      <c r="O394" s="541"/>
    </row>
    <row r="395" spans="1:15" ht="15.75">
      <c r="A395" s="740">
        <f>ROW()</f>
        <v>395</v>
      </c>
      <c r="B395" s="171"/>
      <c r="C395" s="216"/>
      <c r="D395" s="172"/>
      <c r="E395" s="171"/>
      <c r="F395" s="171"/>
      <c r="G395" s="156"/>
      <c r="H395" s="156"/>
      <c r="I395" s="156"/>
      <c r="J395" s="156"/>
      <c r="K395" s="156"/>
      <c r="L395" s="156"/>
      <c r="M395" s="156"/>
      <c r="N395" s="317"/>
      <c r="O395" s="541"/>
    </row>
    <row r="396" spans="1:15" ht="15.75">
      <c r="A396" s="740">
        <f>ROW()</f>
        <v>396</v>
      </c>
      <c r="B396" s="1472" t="s">
        <v>444</v>
      </c>
      <c r="C396" s="1473"/>
      <c r="D396" s="1472"/>
      <c r="E396" s="1472"/>
      <c r="F396" s="1472"/>
      <c r="G396" s="1474"/>
      <c r="H396" s="1475"/>
      <c r="I396" s="1475"/>
      <c r="J396" s="1475"/>
      <c r="K396" s="1475"/>
      <c r="L396" s="1475"/>
      <c r="M396" s="1475"/>
      <c r="N396" s="317"/>
      <c r="O396" s="541"/>
    </row>
    <row r="397" spans="1:15" ht="15.75">
      <c r="A397" s="740">
        <f>ROW()</f>
        <v>397</v>
      </c>
      <c r="B397" s="296" t="s">
        <v>523</v>
      </c>
      <c r="C397" s="297"/>
      <c r="D397" s="296"/>
      <c r="E397" s="298"/>
      <c r="F397" s="298"/>
      <c r="G397" s="1038">
        <f t="shared" ref="G397:M397" si="91">G389*$C$54</f>
        <v>0</v>
      </c>
      <c r="H397" s="1038">
        <f t="shared" si="91"/>
        <v>14176.36</v>
      </c>
      <c r="I397" s="1038">
        <f t="shared" si="91"/>
        <v>17105.36</v>
      </c>
      <c r="J397" s="1038">
        <f t="shared" si="91"/>
        <v>22070.014999999999</v>
      </c>
      <c r="K397" s="1038">
        <f t="shared" si="91"/>
        <v>24999.015000000003</v>
      </c>
      <c r="L397" s="1038">
        <f t="shared" si="91"/>
        <v>24999.015000000003</v>
      </c>
      <c r="M397" s="1038">
        <f t="shared" si="91"/>
        <v>24999.015000000003</v>
      </c>
      <c r="N397" s="317"/>
      <c r="O397" s="541"/>
    </row>
    <row r="398" spans="1:15" ht="15.75">
      <c r="A398" s="740">
        <f>ROW()</f>
        <v>398</v>
      </c>
      <c r="B398" s="171"/>
      <c r="C398" s="216"/>
      <c r="D398" s="172"/>
      <c r="E398" s="171"/>
      <c r="F398" s="171"/>
      <c r="G398" s="1039"/>
      <c r="H398" s="1039"/>
      <c r="I398" s="1039"/>
      <c r="J398" s="1039"/>
      <c r="K398" s="1039"/>
      <c r="L398" s="1039"/>
      <c r="M398" s="1039"/>
      <c r="N398" s="317"/>
      <c r="O398" s="541"/>
    </row>
    <row r="399" spans="1:15" ht="15.75">
      <c r="A399" s="740">
        <f>ROW()</f>
        <v>399</v>
      </c>
      <c r="B399" s="1472" t="s">
        <v>524</v>
      </c>
      <c r="C399" s="1473"/>
      <c r="D399" s="1472"/>
      <c r="E399" s="1472"/>
      <c r="F399" s="1472"/>
      <c r="G399" s="1474"/>
      <c r="H399" s="1475"/>
      <c r="I399" s="1475"/>
      <c r="J399" s="1475"/>
      <c r="K399" s="1475"/>
      <c r="L399" s="1475"/>
      <c r="M399" s="1475"/>
      <c r="N399" s="317"/>
      <c r="O399" s="541"/>
    </row>
    <row r="400" spans="1:15" ht="15.75">
      <c r="A400" s="740">
        <f>ROW()</f>
        <v>400</v>
      </c>
      <c r="B400" s="296" t="s">
        <v>525</v>
      </c>
      <c r="C400" s="297"/>
      <c r="D400" s="296"/>
      <c r="E400" s="270"/>
      <c r="F400" s="270"/>
      <c r="G400" s="1037">
        <f t="shared" ref="G400:M400" si="92">G389*$C$55</f>
        <v>0</v>
      </c>
      <c r="H400" s="1037">
        <f t="shared" si="92"/>
        <v>149096.19999999998</v>
      </c>
      <c r="I400" s="1037">
        <f t="shared" si="92"/>
        <v>179901.19999999998</v>
      </c>
      <c r="J400" s="1037">
        <f t="shared" si="92"/>
        <v>232115.67499999999</v>
      </c>
      <c r="K400" s="1037">
        <f t="shared" si="92"/>
        <v>262920.67499999999</v>
      </c>
      <c r="L400" s="1037">
        <f t="shared" si="92"/>
        <v>262920.67499999999</v>
      </c>
      <c r="M400" s="1037">
        <f t="shared" si="92"/>
        <v>262920.67499999999</v>
      </c>
      <c r="N400" s="317"/>
      <c r="O400" s="541"/>
    </row>
    <row r="401" spans="1:15" ht="15.75">
      <c r="A401" s="740">
        <f>ROW()</f>
        <v>401</v>
      </c>
      <c r="B401" s="171"/>
      <c r="C401" s="216"/>
      <c r="D401" s="172"/>
      <c r="E401" s="171"/>
      <c r="F401" s="171"/>
      <c r="G401" s="1035"/>
      <c r="H401" s="954"/>
      <c r="I401" s="954"/>
      <c r="J401" s="954"/>
      <c r="K401" s="954"/>
      <c r="L401" s="954"/>
      <c r="M401" s="954"/>
      <c r="N401" s="317"/>
      <c r="O401" s="541"/>
    </row>
    <row r="402" spans="1:15" ht="15.75">
      <c r="A402" s="740">
        <f>ROW()</f>
        <v>402</v>
      </c>
      <c r="B402" s="1472" t="s">
        <v>447</v>
      </c>
      <c r="C402" s="1473"/>
      <c r="D402" s="1472"/>
      <c r="E402" s="1472"/>
      <c r="F402" s="1472"/>
      <c r="G402" s="1474"/>
      <c r="H402" s="1475"/>
      <c r="I402" s="1475"/>
      <c r="J402" s="1475"/>
      <c r="K402" s="1475"/>
      <c r="L402" s="1475"/>
      <c r="M402" s="1475"/>
      <c r="N402" s="317"/>
      <c r="O402" s="541"/>
    </row>
    <row r="403" spans="1:15" ht="15.75">
      <c r="A403" s="740">
        <f>ROW()</f>
        <v>403</v>
      </c>
      <c r="B403" s="296" t="s">
        <v>526</v>
      </c>
      <c r="C403" s="297"/>
      <c r="D403" s="296"/>
      <c r="E403" s="298"/>
      <c r="F403" s="298"/>
      <c r="G403" s="1037">
        <f t="shared" ref="G403:M403" si="93">G389*$C$56</f>
        <v>0</v>
      </c>
      <c r="H403" s="1037">
        <f t="shared" si="93"/>
        <v>9776.8000000000011</v>
      </c>
      <c r="I403" s="1037">
        <f t="shared" si="93"/>
        <v>11796.800000000001</v>
      </c>
      <c r="J403" s="1037">
        <f t="shared" si="93"/>
        <v>15220.7</v>
      </c>
      <c r="K403" s="1037">
        <f t="shared" si="93"/>
        <v>17240.7</v>
      </c>
      <c r="L403" s="1037">
        <f t="shared" si="93"/>
        <v>17240.7</v>
      </c>
      <c r="M403" s="1037">
        <f t="shared" si="93"/>
        <v>17240.7</v>
      </c>
      <c r="N403" s="317"/>
      <c r="O403" s="541"/>
    </row>
    <row r="404" spans="1:15" ht="15.75">
      <c r="A404" s="740">
        <f>ROW()</f>
        <v>404</v>
      </c>
      <c r="B404" s="231"/>
      <c r="C404" s="218"/>
      <c r="D404" s="231"/>
      <c r="E404" s="84"/>
      <c r="F404" s="84"/>
      <c r="G404" s="783"/>
      <c r="H404" s="968"/>
      <c r="I404" s="968"/>
      <c r="J404" s="968"/>
      <c r="K404" s="968"/>
      <c r="L404" s="968"/>
      <c r="M404" s="968"/>
      <c r="N404" s="317"/>
      <c r="O404" s="541"/>
    </row>
    <row r="405" spans="1:15" ht="15.75">
      <c r="A405" s="740">
        <f>ROW()</f>
        <v>405</v>
      </c>
      <c r="B405" s="1472" t="s">
        <v>527</v>
      </c>
      <c r="C405" s="1473"/>
      <c r="D405" s="1472"/>
      <c r="E405" s="1472"/>
      <c r="F405" s="1472"/>
      <c r="G405" s="1474"/>
      <c r="H405" s="1475"/>
      <c r="I405" s="1475"/>
      <c r="J405" s="1475"/>
      <c r="K405" s="1475"/>
      <c r="L405" s="1475"/>
      <c r="M405" s="1475"/>
      <c r="N405" s="317"/>
      <c r="O405" s="541"/>
    </row>
    <row r="406" spans="1:15" ht="15.75">
      <c r="A406" s="740">
        <f>ROW()</f>
        <v>406</v>
      </c>
      <c r="B406" s="294" t="s">
        <v>528</v>
      </c>
      <c r="C406" s="295"/>
      <c r="D406" s="208"/>
      <c r="E406" s="205"/>
      <c r="F406" s="205"/>
      <c r="G406" s="1037">
        <f t="shared" ref="G406:M406" si="94">G21*$C$57</f>
        <v>0</v>
      </c>
      <c r="H406" s="1037">
        <f t="shared" si="94"/>
        <v>0</v>
      </c>
      <c r="I406" s="1037">
        <f t="shared" si="94"/>
        <v>0</v>
      </c>
      <c r="J406" s="1037">
        <f t="shared" si="94"/>
        <v>0</v>
      </c>
      <c r="K406" s="1037">
        <f t="shared" si="94"/>
        <v>0</v>
      </c>
      <c r="L406" s="1037">
        <f t="shared" si="94"/>
        <v>0</v>
      </c>
      <c r="M406" s="1037">
        <f t="shared" si="94"/>
        <v>0</v>
      </c>
      <c r="N406" s="317"/>
      <c r="O406" s="541"/>
    </row>
    <row r="407" spans="1:15" ht="15.75">
      <c r="A407" s="740">
        <f>ROW()</f>
        <v>407</v>
      </c>
      <c r="B407" s="231"/>
      <c r="C407" s="218"/>
      <c r="D407" s="231"/>
      <c r="E407" s="84"/>
      <c r="F407" s="84"/>
      <c r="G407" s="783"/>
      <c r="H407" s="968"/>
      <c r="I407" s="968"/>
      <c r="J407" s="968"/>
      <c r="K407" s="968"/>
      <c r="L407" s="968"/>
      <c r="M407" s="968"/>
      <c r="N407" s="317"/>
      <c r="O407" s="541"/>
    </row>
    <row r="408" spans="1:15" ht="15.75">
      <c r="A408" s="740">
        <f>ROW()</f>
        <v>408</v>
      </c>
      <c r="B408" s="1472" t="s">
        <v>529</v>
      </c>
      <c r="C408" s="1473"/>
      <c r="D408" s="1472"/>
      <c r="E408" s="1472"/>
      <c r="F408" s="1472"/>
      <c r="G408" s="1474"/>
      <c r="H408" s="1475"/>
      <c r="I408" s="1475"/>
      <c r="J408" s="1475"/>
      <c r="K408" s="1475"/>
      <c r="L408" s="1475"/>
      <c r="M408" s="1475"/>
      <c r="N408" s="317"/>
      <c r="O408" s="541"/>
    </row>
    <row r="409" spans="1:15" ht="15.75">
      <c r="A409" s="740">
        <f>ROW()</f>
        <v>409</v>
      </c>
      <c r="B409" s="208" t="s">
        <v>530</v>
      </c>
      <c r="C409" s="295"/>
      <c r="D409" s="208"/>
      <c r="E409" s="205"/>
      <c r="F409" s="205"/>
      <c r="G409" s="1037">
        <f t="shared" ref="G409:M409" si="95">G21*$C$58</f>
        <v>0</v>
      </c>
      <c r="H409" s="1037">
        <f t="shared" si="95"/>
        <v>28025</v>
      </c>
      <c r="I409" s="1037">
        <f t="shared" si="95"/>
        <v>33925</v>
      </c>
      <c r="J409" s="1037">
        <f t="shared" si="95"/>
        <v>44250</v>
      </c>
      <c r="K409" s="1037">
        <f t="shared" si="95"/>
        <v>50150</v>
      </c>
      <c r="L409" s="1037">
        <f t="shared" si="95"/>
        <v>50150</v>
      </c>
      <c r="M409" s="1037">
        <f t="shared" si="95"/>
        <v>51625</v>
      </c>
      <c r="N409" s="317"/>
      <c r="O409" s="541"/>
    </row>
    <row r="410" spans="1:15">
      <c r="A410" s="740">
        <f>ROW()</f>
        <v>410</v>
      </c>
      <c r="B410" s="145"/>
      <c r="C410" s="217"/>
      <c r="D410" s="145"/>
      <c r="E410" s="150"/>
      <c r="F410" s="150"/>
      <c r="G410" s="780"/>
      <c r="H410" s="780"/>
      <c r="I410" s="780"/>
      <c r="J410" s="780"/>
      <c r="K410" s="780"/>
      <c r="L410" s="780"/>
      <c r="M410" s="780"/>
      <c r="N410" s="42"/>
      <c r="O410" s="541"/>
    </row>
    <row r="411" spans="1:15" ht="15.75">
      <c r="A411" s="740">
        <f>ROW()</f>
        <v>411</v>
      </c>
      <c r="B411" s="1472" t="s">
        <v>531</v>
      </c>
      <c r="C411" s="1473"/>
      <c r="D411" s="1472"/>
      <c r="E411" s="1472"/>
      <c r="F411" s="1472"/>
      <c r="G411" s="1474"/>
      <c r="H411" s="1475"/>
      <c r="I411" s="1475"/>
      <c r="J411" s="1475"/>
      <c r="K411" s="1475"/>
      <c r="L411" s="1475"/>
      <c r="M411" s="1475"/>
      <c r="N411" s="42"/>
      <c r="O411" s="541"/>
    </row>
    <row r="412" spans="1:15">
      <c r="A412" s="740">
        <f>ROW()</f>
        <v>412</v>
      </c>
      <c r="B412" s="208" t="s">
        <v>532</v>
      </c>
      <c r="C412" s="295"/>
      <c r="D412" s="208"/>
      <c r="E412" s="205"/>
      <c r="F412" s="205"/>
      <c r="G412" s="1038">
        <f t="shared" ref="G412:M412" si="96">G21*$C$59</f>
        <v>0</v>
      </c>
      <c r="H412" s="1038">
        <f t="shared" si="96"/>
        <v>1805</v>
      </c>
      <c r="I412" s="1038">
        <f t="shared" si="96"/>
        <v>2185</v>
      </c>
      <c r="J412" s="1038">
        <f t="shared" si="96"/>
        <v>2850</v>
      </c>
      <c r="K412" s="1038">
        <f t="shared" si="96"/>
        <v>3230</v>
      </c>
      <c r="L412" s="1038">
        <f t="shared" si="96"/>
        <v>3230</v>
      </c>
      <c r="M412" s="1038">
        <f t="shared" si="96"/>
        <v>3325</v>
      </c>
      <c r="N412" s="42"/>
      <c r="O412" s="541"/>
    </row>
    <row r="413" spans="1:15" ht="15.75" thickBot="1">
      <c r="A413" s="740">
        <f>ROW()</f>
        <v>413</v>
      </c>
      <c r="B413" s="150"/>
      <c r="C413" s="220"/>
      <c r="D413" s="150"/>
      <c r="E413" s="100"/>
      <c r="F413" s="100"/>
      <c r="G413" s="781"/>
      <c r="H413" s="983"/>
      <c r="I413" s="983"/>
      <c r="J413" s="983"/>
      <c r="K413" s="983"/>
      <c r="L413" s="983"/>
      <c r="M413" s="983"/>
      <c r="N413" s="42"/>
      <c r="O413" s="541"/>
    </row>
    <row r="414" spans="1:15" ht="15.75" thickBot="1">
      <c r="A414" s="740">
        <f>ROW()</f>
        <v>414</v>
      </c>
      <c r="B414" s="1447" t="s">
        <v>533</v>
      </c>
      <c r="C414" s="1448"/>
      <c r="D414" s="1476"/>
      <c r="E414" s="1476"/>
      <c r="F414" s="1476"/>
      <c r="G414" s="1449">
        <f t="shared" ref="G414:M414" si="97">G409+G406+G403+G400+G397+G394+G412</f>
        <v>0</v>
      </c>
      <c r="H414" s="1449">
        <f t="shared" si="97"/>
        <v>285780.15999999997</v>
      </c>
      <c r="I414" s="1449">
        <f t="shared" si="97"/>
        <v>346270.49599999998</v>
      </c>
      <c r="J414" s="1449">
        <f t="shared" si="97"/>
        <v>450033.3996</v>
      </c>
      <c r="K414" s="1449">
        <f t="shared" si="97"/>
        <v>511384.30698880006</v>
      </c>
      <c r="L414" s="1449">
        <f t="shared" si="97"/>
        <v>512912.74615868798</v>
      </c>
      <c r="M414" s="1449">
        <f t="shared" si="97"/>
        <v>520612.23677087121</v>
      </c>
      <c r="N414" s="42"/>
      <c r="O414" s="541"/>
    </row>
    <row r="415" spans="1:15">
      <c r="A415" s="740">
        <f>ROW()</f>
        <v>415</v>
      </c>
      <c r="B415" s="147" t="s">
        <v>534</v>
      </c>
      <c r="C415" s="221"/>
      <c r="D415" s="147"/>
      <c r="E415" s="147"/>
      <c r="F415" s="147"/>
      <c r="G415" s="1040">
        <f>IFERROR(G414/G389,0)</f>
        <v>0</v>
      </c>
      <c r="H415" s="1040">
        <f t="shared" ref="H415:M415" si="98">IF(OR(H414=0,H389=0),0,H414/H389)</f>
        <v>0.29230439407577119</v>
      </c>
      <c r="I415" s="1040">
        <f t="shared" si="98"/>
        <v>0.2935291740132917</v>
      </c>
      <c r="J415" s="1040">
        <f t="shared" si="98"/>
        <v>0.29567194649391948</v>
      </c>
      <c r="K415" s="1040">
        <f t="shared" si="98"/>
        <v>0.29661458466813995</v>
      </c>
      <c r="L415" s="1040">
        <f t="shared" si="98"/>
        <v>0.29750111431594306</v>
      </c>
      <c r="M415" s="1040">
        <f t="shared" si="98"/>
        <v>0.30196699482670147</v>
      </c>
      <c r="N415" s="123"/>
      <c r="O415" s="541"/>
    </row>
    <row r="416" spans="1:15">
      <c r="A416" s="740">
        <f>ROW()</f>
        <v>416</v>
      </c>
      <c r="C416" s="222"/>
      <c r="G416" s="66"/>
      <c r="H416" s="66"/>
      <c r="I416" s="66"/>
      <c r="J416" s="66"/>
      <c r="K416" s="66"/>
      <c r="L416" s="66"/>
      <c r="M416" s="66"/>
      <c r="N416" s="42"/>
      <c r="O416" s="541"/>
    </row>
    <row r="417" spans="1:15">
      <c r="A417" s="740">
        <f>ROW()</f>
        <v>417</v>
      </c>
      <c r="B417" s="82" t="s">
        <v>535</v>
      </c>
      <c r="C417" s="214"/>
      <c r="D417" s="84"/>
      <c r="E417" s="84"/>
      <c r="F417" s="84"/>
      <c r="G417" s="184"/>
      <c r="H417" s="184"/>
      <c r="I417" s="184"/>
      <c r="J417" s="184"/>
      <c r="K417" s="184"/>
      <c r="L417" s="184"/>
      <c r="M417" s="184"/>
      <c r="N417" s="42"/>
      <c r="O417" s="541"/>
    </row>
    <row r="418" spans="1:15">
      <c r="A418" s="740">
        <f>ROW()</f>
        <v>418</v>
      </c>
      <c r="C418" s="222"/>
      <c r="G418" s="66"/>
      <c r="H418" s="66"/>
      <c r="I418" s="66"/>
      <c r="J418" s="66"/>
      <c r="K418" s="66"/>
      <c r="L418" s="66"/>
      <c r="M418" s="66"/>
      <c r="N418" s="42"/>
      <c r="O418" s="541"/>
    </row>
    <row r="419" spans="1:15">
      <c r="A419" s="740">
        <f>ROW()</f>
        <v>419</v>
      </c>
      <c r="B419" s="80" t="s">
        <v>536</v>
      </c>
      <c r="C419" s="222"/>
      <c r="G419" s="66"/>
      <c r="H419" s="66"/>
      <c r="I419" s="66"/>
      <c r="J419" s="66"/>
      <c r="K419" s="66"/>
      <c r="L419" s="66"/>
      <c r="M419" s="66"/>
      <c r="N419" s="42"/>
      <c r="O419" s="541"/>
    </row>
    <row r="420" spans="1:15">
      <c r="A420" s="740">
        <f>ROW()</f>
        <v>420</v>
      </c>
      <c r="B420" s="80" t="s">
        <v>537</v>
      </c>
      <c r="C420" s="222"/>
      <c r="G420" s="1031">
        <v>0</v>
      </c>
      <c r="H420" s="1031">
        <v>0</v>
      </c>
      <c r="I420" s="1031">
        <v>0</v>
      </c>
      <c r="J420" s="1031">
        <v>0</v>
      </c>
      <c r="K420" s="1031">
        <v>0</v>
      </c>
      <c r="L420" s="1031">
        <v>0</v>
      </c>
      <c r="M420" s="1031">
        <v>0</v>
      </c>
      <c r="N420" s="42"/>
      <c r="O420" s="541"/>
    </row>
    <row r="421" spans="1:15">
      <c r="A421" s="740">
        <f>ROW()</f>
        <v>421</v>
      </c>
      <c r="B421" s="80" t="s">
        <v>538</v>
      </c>
      <c r="C421" s="223">
        <v>0</v>
      </c>
      <c r="G421" s="1047">
        <f t="shared" ref="G421:M421" si="99">$C$421*G420</f>
        <v>0</v>
      </c>
      <c r="H421" s="1047">
        <f t="shared" si="99"/>
        <v>0</v>
      </c>
      <c r="I421" s="1047">
        <f t="shared" si="99"/>
        <v>0</v>
      </c>
      <c r="J421" s="1047">
        <f t="shared" si="99"/>
        <v>0</v>
      </c>
      <c r="K421" s="1047">
        <f t="shared" si="99"/>
        <v>0</v>
      </c>
      <c r="L421" s="1047">
        <f t="shared" si="99"/>
        <v>0</v>
      </c>
      <c r="M421" s="1047">
        <f t="shared" si="99"/>
        <v>0</v>
      </c>
      <c r="N421" s="42"/>
      <c r="O421" s="541"/>
    </row>
    <row r="422" spans="1:15">
      <c r="A422" s="740">
        <f>ROW()</f>
        <v>422</v>
      </c>
      <c r="C422" s="467"/>
      <c r="D422" s="468"/>
      <c r="G422" s="394"/>
      <c r="H422" s="394"/>
      <c r="I422" s="394"/>
      <c r="J422" s="394"/>
      <c r="K422" s="394"/>
      <c r="L422" s="394"/>
      <c r="M422" s="394"/>
      <c r="N422" s="42"/>
      <c r="O422" s="541"/>
    </row>
    <row r="423" spans="1:15">
      <c r="A423" s="740">
        <f>ROW()</f>
        <v>423</v>
      </c>
      <c r="B423" s="80" t="s">
        <v>539</v>
      </c>
      <c r="C423" s="393"/>
      <c r="D423" s="42"/>
      <c r="G423" s="394"/>
      <c r="H423" s="394"/>
      <c r="I423" s="394"/>
      <c r="J423" s="394"/>
      <c r="K423" s="394"/>
      <c r="L423" s="394"/>
      <c r="M423" s="394"/>
      <c r="N423" s="42"/>
      <c r="O423" s="541"/>
    </row>
    <row r="424" spans="1:15">
      <c r="A424" s="740">
        <f>ROW()</f>
        <v>424</v>
      </c>
      <c r="B424" s="80" t="s">
        <v>540</v>
      </c>
      <c r="C424" s="393"/>
      <c r="D424" s="42"/>
      <c r="G424" s="1032">
        <v>0</v>
      </c>
      <c r="H424" s="1032">
        <v>0</v>
      </c>
      <c r="I424" s="1032">
        <v>0</v>
      </c>
      <c r="J424" s="1032">
        <v>0</v>
      </c>
      <c r="K424" s="1032">
        <v>0</v>
      </c>
      <c r="L424" s="1032">
        <v>0</v>
      </c>
      <c r="M424" s="1032">
        <v>0</v>
      </c>
      <c r="N424" s="42"/>
      <c r="O424" s="541"/>
    </row>
    <row r="425" spans="1:15">
      <c r="A425" s="740">
        <f>ROW()</f>
        <v>425</v>
      </c>
      <c r="B425" s="80" t="s">
        <v>538</v>
      </c>
      <c r="C425" s="223">
        <v>0</v>
      </c>
      <c r="G425" s="1047">
        <f t="shared" ref="G425:M425" si="100">$C$425*G424</f>
        <v>0</v>
      </c>
      <c r="H425" s="1047">
        <f t="shared" si="100"/>
        <v>0</v>
      </c>
      <c r="I425" s="1047">
        <f t="shared" si="100"/>
        <v>0</v>
      </c>
      <c r="J425" s="1047">
        <f t="shared" si="100"/>
        <v>0</v>
      </c>
      <c r="K425" s="1047">
        <f t="shared" si="100"/>
        <v>0</v>
      </c>
      <c r="L425" s="1047">
        <f t="shared" si="100"/>
        <v>0</v>
      </c>
      <c r="M425" s="1047">
        <f t="shared" si="100"/>
        <v>0</v>
      </c>
      <c r="N425" s="42"/>
      <c r="O425" s="541"/>
    </row>
    <row r="426" spans="1:15">
      <c r="A426" s="740">
        <f>ROW()</f>
        <v>426</v>
      </c>
      <c r="C426" s="393"/>
      <c r="D426" s="42"/>
      <c r="G426" s="394"/>
      <c r="H426" s="394"/>
      <c r="I426" s="394"/>
      <c r="J426" s="394"/>
      <c r="K426" s="394"/>
      <c r="L426" s="394"/>
      <c r="M426" s="394"/>
      <c r="N426" s="42"/>
      <c r="O426" s="541"/>
    </row>
    <row r="427" spans="1:15">
      <c r="A427" s="740">
        <f>ROW()</f>
        <v>427</v>
      </c>
      <c r="B427" s="80" t="s">
        <v>539</v>
      </c>
      <c r="C427" s="393"/>
      <c r="D427" s="42"/>
      <c r="G427" s="394"/>
      <c r="H427" s="394"/>
      <c r="I427" s="394"/>
      <c r="J427" s="394"/>
      <c r="K427" s="394"/>
      <c r="L427" s="394"/>
      <c r="M427" s="394"/>
      <c r="N427" s="42"/>
      <c r="O427" s="541"/>
    </row>
    <row r="428" spans="1:15">
      <c r="A428" s="740">
        <f>ROW()</f>
        <v>428</v>
      </c>
      <c r="B428" s="80" t="s">
        <v>540</v>
      </c>
      <c r="C428" s="393"/>
      <c r="D428" s="42"/>
      <c r="G428" s="1032">
        <v>0</v>
      </c>
      <c r="H428" s="1032">
        <v>0</v>
      </c>
      <c r="I428" s="1032">
        <v>0</v>
      </c>
      <c r="J428" s="1032">
        <v>0</v>
      </c>
      <c r="K428" s="1032">
        <v>0</v>
      </c>
      <c r="L428" s="1032">
        <v>0</v>
      </c>
      <c r="M428" s="1032">
        <v>0</v>
      </c>
      <c r="N428" s="42"/>
      <c r="O428" s="541"/>
    </row>
    <row r="429" spans="1:15">
      <c r="A429" s="740">
        <f>ROW()</f>
        <v>429</v>
      </c>
      <c r="B429" s="80" t="s">
        <v>538</v>
      </c>
      <c r="C429" s="223">
        <v>0</v>
      </c>
      <c r="G429" s="1047">
        <f>$C$429*G428</f>
        <v>0</v>
      </c>
      <c r="H429" s="1047">
        <f>$C$429*H428</f>
        <v>0</v>
      </c>
      <c r="I429" s="1047">
        <f>$C$429*I428</f>
        <v>0</v>
      </c>
      <c r="J429" s="1047">
        <f>I429*' Enrol &amp; Rev'!$C$67</f>
        <v>0</v>
      </c>
      <c r="K429" s="1047">
        <f>J429*' Enrol &amp; Rev'!$C$67</f>
        <v>0</v>
      </c>
      <c r="L429" s="1047">
        <f>K429*' Enrol &amp; Rev'!$C$67</f>
        <v>0</v>
      </c>
      <c r="M429" s="1047">
        <f>L429*' Enrol &amp; Rev'!$C$67</f>
        <v>0</v>
      </c>
      <c r="N429" s="42"/>
      <c r="O429" s="541"/>
    </row>
    <row r="430" spans="1:15">
      <c r="A430" s="740">
        <f>ROW()</f>
        <v>430</v>
      </c>
      <c r="C430" s="393"/>
      <c r="D430" s="42"/>
      <c r="G430" s="394"/>
      <c r="H430" s="394"/>
      <c r="I430" s="394"/>
      <c r="J430" s="394"/>
      <c r="K430" s="394"/>
      <c r="L430" s="394"/>
      <c r="M430" s="394"/>
      <c r="N430" s="42"/>
      <c r="O430" s="541"/>
    </row>
    <row r="431" spans="1:15">
      <c r="A431" s="740">
        <f>ROW()</f>
        <v>431</v>
      </c>
      <c r="B431" s="80" t="s">
        <v>539</v>
      </c>
      <c r="C431" s="393"/>
      <c r="D431" s="42"/>
      <c r="G431" s="394"/>
      <c r="H431" s="394"/>
      <c r="I431" s="394"/>
      <c r="J431" s="394"/>
      <c r="K431" s="394"/>
      <c r="L431" s="394"/>
      <c r="M431" s="394"/>
      <c r="N431" s="42"/>
      <c r="O431" s="541"/>
    </row>
    <row r="432" spans="1:15">
      <c r="A432" s="740">
        <f>ROW()</f>
        <v>432</v>
      </c>
      <c r="B432" s="80" t="s">
        <v>540</v>
      </c>
      <c r="C432" s="393"/>
      <c r="D432" s="42"/>
      <c r="G432" s="1032">
        <v>0</v>
      </c>
      <c r="H432" s="1032">
        <v>0</v>
      </c>
      <c r="I432" s="1032">
        <v>0</v>
      </c>
      <c r="J432" s="1032">
        <v>0</v>
      </c>
      <c r="K432" s="1032">
        <v>0</v>
      </c>
      <c r="L432" s="1032">
        <v>0</v>
      </c>
      <c r="M432" s="1032">
        <v>0</v>
      </c>
      <c r="N432" s="42"/>
      <c r="O432" s="541"/>
    </row>
    <row r="433" spans="1:15">
      <c r="A433" s="740">
        <f>ROW()</f>
        <v>433</v>
      </c>
      <c r="B433" s="80" t="s">
        <v>538</v>
      </c>
      <c r="C433" s="223">
        <v>0</v>
      </c>
      <c r="G433" s="1047">
        <f t="shared" ref="G433:M433" si="101">$C$433*G432</f>
        <v>0</v>
      </c>
      <c r="H433" s="1047">
        <f t="shared" si="101"/>
        <v>0</v>
      </c>
      <c r="I433" s="1047">
        <f t="shared" si="101"/>
        <v>0</v>
      </c>
      <c r="J433" s="1047">
        <f t="shared" si="101"/>
        <v>0</v>
      </c>
      <c r="K433" s="1047">
        <f t="shared" si="101"/>
        <v>0</v>
      </c>
      <c r="L433" s="1047">
        <f t="shared" si="101"/>
        <v>0</v>
      </c>
      <c r="M433" s="1047">
        <f t="shared" si="101"/>
        <v>0</v>
      </c>
      <c r="N433" s="42"/>
      <c r="O433" s="541"/>
    </row>
    <row r="434" spans="1:15">
      <c r="A434" s="740">
        <f>ROW()</f>
        <v>434</v>
      </c>
      <c r="C434" s="393"/>
      <c r="D434" s="42"/>
      <c r="G434" s="394"/>
      <c r="H434" s="394"/>
      <c r="I434" s="394"/>
      <c r="J434" s="394"/>
      <c r="K434" s="394"/>
      <c r="L434" s="394"/>
      <c r="M434" s="394"/>
      <c r="N434" s="42"/>
      <c r="O434" s="541"/>
    </row>
    <row r="435" spans="1:15">
      <c r="A435" s="740">
        <f>ROW()</f>
        <v>435</v>
      </c>
      <c r="B435" s="80" t="s">
        <v>539</v>
      </c>
      <c r="C435" s="393"/>
      <c r="D435" s="42"/>
      <c r="G435" s="394"/>
      <c r="H435" s="394"/>
      <c r="I435" s="394"/>
      <c r="J435" s="394"/>
      <c r="K435" s="394"/>
      <c r="L435" s="394"/>
      <c r="M435" s="394"/>
      <c r="N435" s="42"/>
      <c r="O435" s="541"/>
    </row>
    <row r="436" spans="1:15">
      <c r="A436" s="740">
        <f>ROW()</f>
        <v>436</v>
      </c>
      <c r="B436" s="80" t="s">
        <v>540</v>
      </c>
      <c r="C436" s="393"/>
      <c r="D436" s="42"/>
      <c r="G436" s="1032">
        <v>0</v>
      </c>
      <c r="H436" s="1032">
        <v>0</v>
      </c>
      <c r="I436" s="1032">
        <v>0</v>
      </c>
      <c r="J436" s="1032">
        <v>0</v>
      </c>
      <c r="K436" s="1032">
        <v>0</v>
      </c>
      <c r="L436" s="1032">
        <v>0</v>
      </c>
      <c r="M436" s="1032">
        <v>0</v>
      </c>
      <c r="N436" s="42"/>
      <c r="O436" s="541"/>
    </row>
    <row r="437" spans="1:15">
      <c r="A437" s="740">
        <f>ROW()</f>
        <v>437</v>
      </c>
      <c r="B437" s="80" t="s">
        <v>538</v>
      </c>
      <c r="C437" s="223">
        <v>0</v>
      </c>
      <c r="G437" s="1047">
        <f t="shared" ref="G437:M437" si="102">$C$437*G436</f>
        <v>0</v>
      </c>
      <c r="H437" s="1047">
        <f t="shared" si="102"/>
        <v>0</v>
      </c>
      <c r="I437" s="1047">
        <f t="shared" si="102"/>
        <v>0</v>
      </c>
      <c r="J437" s="1047">
        <f t="shared" si="102"/>
        <v>0</v>
      </c>
      <c r="K437" s="1047">
        <f t="shared" si="102"/>
        <v>0</v>
      </c>
      <c r="L437" s="1047">
        <f t="shared" si="102"/>
        <v>0</v>
      </c>
      <c r="M437" s="1047">
        <f t="shared" si="102"/>
        <v>0</v>
      </c>
      <c r="N437" s="42"/>
      <c r="O437" s="541"/>
    </row>
    <row r="438" spans="1:15" ht="15.75" thickBot="1">
      <c r="A438" s="740">
        <f>ROW()</f>
        <v>438</v>
      </c>
      <c r="C438" s="222"/>
      <c r="G438" s="394"/>
      <c r="H438" s="394"/>
      <c r="I438" s="394"/>
      <c r="J438" s="394"/>
      <c r="K438" s="394"/>
      <c r="L438" s="394"/>
      <c r="M438" s="394"/>
      <c r="N438" s="42"/>
      <c r="O438" s="541"/>
    </row>
    <row r="439" spans="1:15" ht="15.75" thickBot="1">
      <c r="A439" s="740">
        <f>ROW()</f>
        <v>439</v>
      </c>
      <c r="B439" s="1447" t="s">
        <v>541</v>
      </c>
      <c r="C439" s="1448">
        <f>SUM(G439:M439)</f>
        <v>0</v>
      </c>
      <c r="D439" s="1486"/>
      <c r="E439" s="1486"/>
      <c r="F439" s="1486"/>
      <c r="G439" s="1449">
        <f t="shared" ref="G439:M439" si="103">G437+G433+G429+G425+G421</f>
        <v>0</v>
      </c>
      <c r="H439" s="1449">
        <f t="shared" si="103"/>
        <v>0</v>
      </c>
      <c r="I439" s="1449">
        <f t="shared" si="103"/>
        <v>0</v>
      </c>
      <c r="J439" s="1449">
        <f t="shared" si="103"/>
        <v>0</v>
      </c>
      <c r="K439" s="1449">
        <f t="shared" si="103"/>
        <v>0</v>
      </c>
      <c r="L439" s="1449">
        <f t="shared" si="103"/>
        <v>0</v>
      </c>
      <c r="M439" s="1449">
        <f t="shared" si="103"/>
        <v>0</v>
      </c>
      <c r="N439" s="42"/>
      <c r="O439" s="541"/>
    </row>
    <row r="440" spans="1:15">
      <c r="A440" s="740">
        <f>ROW()</f>
        <v>440</v>
      </c>
      <c r="B440" s="145"/>
      <c r="C440" s="217"/>
      <c r="D440" s="145"/>
      <c r="E440" s="145"/>
      <c r="F440" s="145"/>
      <c r="G440" s="780"/>
      <c r="H440" s="780"/>
      <c r="I440" s="780"/>
      <c r="J440" s="780"/>
      <c r="K440" s="780"/>
      <c r="L440" s="780"/>
      <c r="M440" s="780"/>
      <c r="N440" s="42"/>
      <c r="O440" s="541"/>
    </row>
    <row r="441" spans="1:15">
      <c r="A441" s="740">
        <f>ROW()</f>
        <v>441</v>
      </c>
      <c r="B441" s="1409" t="s">
        <v>542</v>
      </c>
      <c r="C441" s="295"/>
      <c r="D441" s="208"/>
      <c r="E441" s="208"/>
      <c r="F441" s="208"/>
      <c r="G441" s="1048">
        <f t="shared" ref="G441:M441" si="104">SUM(G420,G424,G428,G432,G436)</f>
        <v>0</v>
      </c>
      <c r="H441" s="1048">
        <f t="shared" si="104"/>
        <v>0</v>
      </c>
      <c r="I441" s="1048">
        <f t="shared" si="104"/>
        <v>0</v>
      </c>
      <c r="J441" s="1048">
        <f t="shared" si="104"/>
        <v>0</v>
      </c>
      <c r="K441" s="1048">
        <f t="shared" si="104"/>
        <v>0</v>
      </c>
      <c r="L441" s="1048">
        <f t="shared" si="104"/>
        <v>0</v>
      </c>
      <c r="M441" s="1048">
        <f t="shared" si="104"/>
        <v>0</v>
      </c>
      <c r="N441" s="42"/>
      <c r="O441" s="541"/>
    </row>
    <row r="442" spans="1:15" ht="15.75" thickBot="1">
      <c r="A442" s="740">
        <f>ROW()</f>
        <v>442</v>
      </c>
      <c r="B442" s="145"/>
      <c r="C442" s="217"/>
      <c r="D442" s="145"/>
      <c r="E442" s="145"/>
      <c r="F442" s="145"/>
      <c r="G442" s="780"/>
      <c r="H442" s="780"/>
      <c r="I442" s="780"/>
      <c r="J442" s="780"/>
      <c r="K442" s="780"/>
      <c r="L442" s="780"/>
      <c r="M442" s="780"/>
      <c r="N442" s="42"/>
      <c r="O442" s="541"/>
    </row>
    <row r="443" spans="1:15" ht="15.75" thickBot="1">
      <c r="A443" s="740">
        <f>ROW()</f>
        <v>443</v>
      </c>
      <c r="B443" s="1447" t="s">
        <v>543</v>
      </c>
      <c r="C443" s="1448">
        <f>SUM(G443:M443)</f>
        <v>105000</v>
      </c>
      <c r="D443" s="1450"/>
      <c r="E443" s="1450"/>
      <c r="F443" s="1450"/>
      <c r="G443" s="1449">
        <f t="shared" ref="G443:M443" si="105">G21*$C$61*12</f>
        <v>0</v>
      </c>
      <c r="H443" s="1449">
        <f t="shared" si="105"/>
        <v>11400</v>
      </c>
      <c r="I443" s="1449">
        <f t="shared" si="105"/>
        <v>13800</v>
      </c>
      <c r="J443" s="1449">
        <f t="shared" si="105"/>
        <v>18000</v>
      </c>
      <c r="K443" s="1449">
        <f t="shared" si="105"/>
        <v>20400</v>
      </c>
      <c r="L443" s="1449">
        <f t="shared" si="105"/>
        <v>20400</v>
      </c>
      <c r="M443" s="1449">
        <f t="shared" si="105"/>
        <v>21000</v>
      </c>
      <c r="N443" s="42"/>
      <c r="O443" s="541"/>
    </row>
    <row r="444" spans="1:15" ht="15.75" thickBot="1">
      <c r="A444" s="740">
        <f>ROW()</f>
        <v>444</v>
      </c>
      <c r="O444" s="541"/>
    </row>
    <row r="445" spans="1:15" ht="15.75" thickBot="1">
      <c r="A445" s="740">
        <f>ROW()</f>
        <v>445</v>
      </c>
      <c r="B445" s="691" t="s">
        <v>544</v>
      </c>
      <c r="C445" s="692">
        <f>SUM(G445:M445)</f>
        <v>11583633.345518358</v>
      </c>
      <c r="D445" s="693"/>
      <c r="E445" s="693"/>
      <c r="F445" s="693"/>
      <c r="G445" s="876">
        <f>Staff!G389+Staff!G414+Staff!G439+Staff!G443</f>
        <v>0</v>
      </c>
      <c r="H445" s="876">
        <f>Staff!H389+Staff!H414+Staff!H439+Staff!H443</f>
        <v>1274860.1599999999</v>
      </c>
      <c r="I445" s="876">
        <f>Staff!I389+Staff!I414+Staff!I439+Staff!I443</f>
        <v>1539750.496</v>
      </c>
      <c r="J445" s="876">
        <f>Staff!J389+Staff!J414+Staff!J439+Staff!J443</f>
        <v>1990103.3996000001</v>
      </c>
      <c r="K445" s="876">
        <f>Staff!K389+Staff!K414+Staff!K439+Staff!K443</f>
        <v>2255854.3069887999</v>
      </c>
      <c r="L445" s="876">
        <f>Staff!L389+Staff!L414+Staff!L439+Staff!L443</f>
        <v>2257382.7461586879</v>
      </c>
      <c r="M445" s="876">
        <f>Staff!M389+Staff!M414+Staff!M439+Staff!M443</f>
        <v>2265682.2367708711</v>
      </c>
      <c r="N445" s="42"/>
      <c r="O445" s="541"/>
    </row>
  </sheetData>
  <sheetProtection algorithmName="SHA-512" hashValue="PromDLdy6zqfATwcCVh4B9KBGxlxO0cVppLaqiOvZLRM+NApFwI6fmHuZQBHIDGPANRhrhed23X3IkQ1nZK68g==" saltValue="I8sJBjHFqnz8JPlhlmdbyg==" spinCount="100000" sheet="1" objects="1" scenarios="1"/>
  <conditionalFormatting sqref="G81:M81">
    <cfRule type="cellIs" dxfId="55" priority="28" stopIfTrue="1" operator="equal">
      <formula>0</formula>
    </cfRule>
  </conditionalFormatting>
  <conditionalFormatting sqref="G89:M89">
    <cfRule type="cellIs" dxfId="54" priority="29" stopIfTrue="1" operator="equal">
      <formula>0</formula>
    </cfRule>
  </conditionalFormatting>
  <conditionalFormatting sqref="G21:H21 G19:M20 G15:M17">
    <cfRule type="cellIs" dxfId="53" priority="15" stopIfTrue="1" operator="equal">
      <formula>0</formula>
    </cfRule>
  </conditionalFormatting>
  <conditionalFormatting sqref="G18:M18">
    <cfRule type="cellIs" dxfId="52" priority="14" stopIfTrue="1" operator="equal">
      <formula>0</formula>
    </cfRule>
  </conditionalFormatting>
  <conditionalFormatting sqref="I21:M21">
    <cfRule type="cellIs" dxfId="51" priority="12" stopIfTrue="1" operator="equal">
      <formula>0</formula>
    </cfRule>
  </conditionalFormatting>
  <conditionalFormatting sqref="G33:M35">
    <cfRule type="cellIs" dxfId="50" priority="11" stopIfTrue="1" operator="equal">
      <formula>0</formula>
    </cfRule>
  </conditionalFormatting>
  <conditionalFormatting sqref="D1">
    <cfRule type="expression" dxfId="49" priority="10" stopIfTrue="1">
      <formula>MOD(ROW(),2)=0</formula>
    </cfRule>
  </conditionalFormatting>
  <conditionalFormatting sqref="G101:M101">
    <cfRule type="cellIs" dxfId="48" priority="30" stopIfTrue="1" operator="equal">
      <formula>0</formula>
    </cfRule>
  </conditionalFormatting>
  <conditionalFormatting sqref="G113:M113">
    <cfRule type="cellIs" dxfId="47" priority="31" stopIfTrue="1" operator="equal">
      <formula>0</formula>
    </cfRule>
  </conditionalFormatting>
  <conditionalFormatting sqref="G125:M125">
    <cfRule type="cellIs" dxfId="46" priority="32" stopIfTrue="1" operator="equal">
      <formula>0</formula>
    </cfRule>
  </conditionalFormatting>
  <conditionalFormatting sqref="G127:M128">
    <cfRule type="cellIs" dxfId="45" priority="33" stopIfTrue="1" operator="equal">
      <formula>0</formula>
    </cfRule>
  </conditionalFormatting>
  <conditionalFormatting sqref="G38:M42">
    <cfRule type="cellIs" dxfId="44" priority="34" stopIfTrue="1" operator="equal">
      <formula>0</formula>
    </cfRule>
  </conditionalFormatting>
  <conditionalFormatting sqref="G28:M30">
    <cfRule type="cellIs" dxfId="43" priority="35" stopIfTrue="1" operator="equal">
      <formula>0</formula>
    </cfRule>
  </conditionalFormatting>
  <conditionalFormatting sqref="G32:M32">
    <cfRule type="cellIs" dxfId="42" priority="36" stopIfTrue="1" operator="equal">
      <formula>0</formula>
    </cfRule>
  </conditionalFormatting>
  <conditionalFormatting sqref="G37:M37">
    <cfRule type="cellIs" dxfId="41" priority="37" stopIfTrue="1" operator="equal">
      <formula>0</formula>
    </cfRule>
  </conditionalFormatting>
  <conditionalFormatting sqref="G25:M25">
    <cfRule type="cellIs" dxfId="40" priority="38" stopIfTrue="1" operator="equal">
      <formula>0</formula>
    </cfRule>
  </conditionalFormatting>
  <conditionalFormatting sqref="G23:M23">
    <cfRule type="cellIs" dxfId="39" priority="39" stopIfTrue="1" operator="equal">
      <formula>0</formula>
    </cfRule>
  </conditionalFormatting>
  <hyperlinks>
    <hyperlink ref="D1" location="HypLink1" display="HypLink1"/>
  </hyperlinks>
  <pageMargins left="0.25" right="0.25" top="0.5" bottom="0.45" header="0.25" footer="0.25"/>
  <pageSetup scale="55" fitToHeight="4" orientation="landscape" r:id="rId1"/>
  <headerFooter>
    <oddHeader xml:space="preserve">&amp;L &amp;C &amp;R </oddHeader>
    <oddFooter>&amp;L&amp;7&amp;D  at &amp;T Mike 702.854.0691&amp;C&amp;7&amp;F  &amp;A&amp;R&amp;7Page &amp;P of &amp;N</oddFooter>
  </headerFooter>
  <rowBreaks count="1" manualBreakCount="1">
    <brk id="43" max="1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pageSetUpPr fitToPage="1"/>
  </sheetPr>
  <dimension ref="A1:AI163"/>
  <sheetViews>
    <sheetView topLeftCell="A61" zoomScaleNormal="100" workbookViewId="0">
      <selection activeCell="B74" sqref="B74"/>
    </sheetView>
  </sheetViews>
  <sheetFormatPr defaultColWidth="8.85546875" defaultRowHeight="15"/>
  <cols>
    <col min="1" max="1" width="8.140625" style="80" customWidth="1"/>
    <col min="2" max="2" width="47.85546875" style="80" customWidth="1"/>
    <col min="3" max="3" width="17.7109375" style="80" customWidth="1"/>
    <col min="4" max="4" width="9" style="80" customWidth="1"/>
    <col min="5" max="5" width="8.7109375" style="80" customWidth="1"/>
    <col min="6" max="6" width="15.28515625" style="80" customWidth="1"/>
    <col min="7" max="7" width="16.140625" style="84" customWidth="1"/>
    <col min="8" max="9" width="21" style="84" customWidth="1"/>
    <col min="10" max="12" width="17" style="80" customWidth="1"/>
    <col min="13" max="16" width="1.28515625" style="80" customWidth="1"/>
    <col min="17" max="17" width="0.42578125" style="80" customWidth="1"/>
    <col min="18" max="18" width="88.85546875" style="80" customWidth="1"/>
    <col min="19" max="19" width="10.85546875" style="80" customWidth="1"/>
    <col min="20" max="20" width="3.7109375" style="80" customWidth="1"/>
    <col min="21" max="21" width="6.28515625" style="80" customWidth="1"/>
    <col min="22" max="22" width="6" style="80" customWidth="1"/>
    <col min="23" max="23" width="5.140625" style="80" customWidth="1"/>
    <col min="24" max="24" width="6.5703125" style="80" customWidth="1"/>
    <col min="25" max="25" width="17.140625" style="80" customWidth="1"/>
    <col min="26" max="16384" width="8.85546875" style="80"/>
  </cols>
  <sheetData>
    <row r="1" spans="1:35" ht="18">
      <c r="A1" s="203" t="s">
        <v>545</v>
      </c>
      <c r="B1" s="79"/>
      <c r="D1" s="640" t="s">
        <v>2</v>
      </c>
      <c r="P1" s="47"/>
    </row>
    <row r="2" spans="1:35" ht="15.75">
      <c r="A2" s="201" t="str">
        <f>SchoolName</f>
        <v>Strong Start Academy Elementary School</v>
      </c>
      <c r="B2" s="81"/>
    </row>
    <row r="3" spans="1:35">
      <c r="A3" s="83" t="s">
        <v>62</v>
      </c>
      <c r="K3" s="86"/>
    </row>
    <row r="4" spans="1:35">
      <c r="A4" s="85" t="s">
        <v>63</v>
      </c>
    </row>
    <row r="5" spans="1:35">
      <c r="A5" s="76" t="str">
        <f ca="1">CELL("filename")</f>
        <v>C:\Users\rsaucedo\OneDrive - City of Las Vegas\CLV Charter School\[Strong Start Academy Elementary School Financial Workbook 2021.xlsx]Incubation</v>
      </c>
    </row>
    <row r="6" spans="1:35" ht="15.75">
      <c r="A6" s="101"/>
      <c r="D6" s="102" t="s">
        <v>248</v>
      </c>
      <c r="E6" s="102"/>
      <c r="G6" s="432">
        <f>Cover!E11</f>
        <v>2022</v>
      </c>
      <c r="J6" s="102"/>
    </row>
    <row r="7" spans="1:35">
      <c r="A7" s="101"/>
      <c r="D7" s="103" t="s">
        <v>249</v>
      </c>
      <c r="E7" s="103"/>
      <c r="G7" s="77">
        <f>+G6+1</f>
        <v>2023</v>
      </c>
      <c r="J7" s="103"/>
    </row>
    <row r="8" spans="1:35">
      <c r="A8" s="101"/>
      <c r="F8" s="804"/>
      <c r="G8" s="145"/>
      <c r="H8" s="150"/>
      <c r="I8" s="150"/>
      <c r="J8" s="150"/>
      <c r="K8" s="150"/>
      <c r="L8" s="150"/>
    </row>
    <row r="9" spans="1:35">
      <c r="A9" s="101"/>
      <c r="B9" s="86"/>
      <c r="C9" s="42"/>
      <c r="D9" s="42"/>
      <c r="E9" s="42"/>
      <c r="F9" s="1101" t="s">
        <v>546</v>
      </c>
      <c r="G9" s="1091">
        <v>1</v>
      </c>
      <c r="H9" s="1091">
        <f>1+G9</f>
        <v>2</v>
      </c>
      <c r="I9" s="1091">
        <f t="shared" ref="I9:L9" si="0">1+H9</f>
        <v>3</v>
      </c>
      <c r="J9" s="1091">
        <f t="shared" si="0"/>
        <v>4</v>
      </c>
      <c r="K9" s="1091">
        <f t="shared" si="0"/>
        <v>5</v>
      </c>
      <c r="L9" s="1823">
        <f t="shared" si="0"/>
        <v>6</v>
      </c>
    </row>
    <row r="10" spans="1:35">
      <c r="A10" s="101"/>
      <c r="C10" s="42"/>
      <c r="D10" s="1888" t="s">
        <v>547</v>
      </c>
      <c r="E10" s="1889"/>
      <c r="F10" s="1092">
        <f>+G10-1</f>
        <v>2021</v>
      </c>
      <c r="G10" s="1093">
        <f>+G6</f>
        <v>2022</v>
      </c>
      <c r="H10" s="1093">
        <f>+G11</f>
        <v>2023</v>
      </c>
      <c r="I10" s="1093">
        <f>+H11</f>
        <v>2024</v>
      </c>
      <c r="J10" s="1093">
        <f>+I11</f>
        <v>2025</v>
      </c>
      <c r="K10" s="1093">
        <f>+J11</f>
        <v>2026</v>
      </c>
      <c r="L10" s="1094">
        <f>+K11</f>
        <v>2027</v>
      </c>
    </row>
    <row r="11" spans="1:35" s="84" customFormat="1" ht="15.75">
      <c r="A11" s="101"/>
      <c r="B11" s="107"/>
      <c r="C11" s="902" t="s">
        <v>250</v>
      </c>
      <c r="D11" s="903"/>
      <c r="E11" s="903"/>
      <c r="F11" s="1095">
        <f>+G11-1</f>
        <v>2022</v>
      </c>
      <c r="G11" s="1096">
        <f t="shared" ref="G11:L11" si="1">+G10+1</f>
        <v>2023</v>
      </c>
      <c r="H11" s="1096">
        <f t="shared" si="1"/>
        <v>2024</v>
      </c>
      <c r="I11" s="1096">
        <f t="shared" si="1"/>
        <v>2025</v>
      </c>
      <c r="J11" s="1096">
        <f t="shared" si="1"/>
        <v>2026</v>
      </c>
      <c r="K11" s="1096">
        <f t="shared" si="1"/>
        <v>2027</v>
      </c>
      <c r="L11" s="1097">
        <f t="shared" si="1"/>
        <v>2028</v>
      </c>
      <c r="S11" s="80"/>
      <c r="T11" s="80"/>
      <c r="U11" s="80"/>
      <c r="V11" s="80"/>
      <c r="W11" s="80"/>
      <c r="X11" s="80"/>
      <c r="Y11" s="80"/>
      <c r="Z11" s="80"/>
      <c r="AA11" s="80"/>
      <c r="AB11" s="80"/>
      <c r="AC11" s="80"/>
      <c r="AD11" s="80"/>
      <c r="AE11" s="80"/>
      <c r="AF11" s="80"/>
      <c r="AG11" s="80"/>
      <c r="AH11" s="80"/>
      <c r="AI11" s="80"/>
    </row>
    <row r="12" spans="1:35" s="84" customFormat="1" ht="15.75">
      <c r="A12" s="679"/>
      <c r="B12" s="1369" t="s">
        <v>548</v>
      </c>
      <c r="C12" s="46"/>
      <c r="D12" s="456"/>
      <c r="E12" s="456"/>
      <c r="F12" s="1840"/>
      <c r="G12" s="1841"/>
      <c r="H12" s="1841"/>
      <c r="I12" s="1841"/>
      <c r="J12" s="1841"/>
      <c r="K12" s="1841"/>
      <c r="L12" s="1841"/>
      <c r="S12" s="80"/>
      <c r="T12" s="80"/>
      <c r="U12" s="80"/>
      <c r="V12" s="80"/>
      <c r="W12" s="80"/>
      <c r="X12" s="80"/>
      <c r="Y12" s="80"/>
      <c r="Z12" s="80"/>
      <c r="AA12" s="80"/>
      <c r="AB12" s="80"/>
      <c r="AC12" s="80"/>
      <c r="AD12" s="80"/>
      <c r="AE12" s="80"/>
      <c r="AF12" s="80"/>
      <c r="AG12" s="80"/>
      <c r="AH12" s="80"/>
      <c r="AI12" s="80"/>
    </row>
    <row r="13" spans="1:35" s="84" customFormat="1" ht="15.75">
      <c r="A13" s="745">
        <f>ROW()</f>
        <v>13</v>
      </c>
      <c r="B13" s="680" t="s">
        <v>122</v>
      </c>
      <c r="C13" s="97"/>
      <c r="D13" s="97"/>
      <c r="E13" s="97"/>
      <c r="F13" s="877"/>
      <c r="G13" s="878"/>
      <c r="H13" s="878"/>
      <c r="I13" s="878"/>
      <c r="J13" s="878"/>
      <c r="K13" s="878"/>
      <c r="L13" s="878"/>
      <c r="R13" s="1813" t="s">
        <v>84</v>
      </c>
      <c r="S13" s="80"/>
      <c r="T13" s="80"/>
      <c r="U13" s="80"/>
      <c r="V13" s="80"/>
      <c r="W13" s="80"/>
      <c r="X13" s="80"/>
      <c r="Y13" s="80"/>
      <c r="Z13" s="80"/>
      <c r="AA13" s="80"/>
      <c r="AB13" s="80"/>
      <c r="AC13" s="80"/>
      <c r="AD13" s="80"/>
      <c r="AE13" s="80"/>
      <c r="AF13" s="80"/>
      <c r="AG13" s="80"/>
      <c r="AH13" s="80"/>
      <c r="AI13" s="80"/>
    </row>
    <row r="14" spans="1:35" s="84" customFormat="1" ht="15.75">
      <c r="A14" s="745">
        <f>ROW()</f>
        <v>14</v>
      </c>
      <c r="B14" s="82" t="s">
        <v>216</v>
      </c>
      <c r="F14" s="879"/>
      <c r="G14" s="921"/>
      <c r="H14" s="921"/>
      <c r="I14" s="921"/>
      <c r="J14" s="921"/>
      <c r="K14" s="921"/>
      <c r="L14" s="921"/>
      <c r="R14" s="717"/>
      <c r="S14" s="80"/>
      <c r="T14" s="80"/>
      <c r="U14" s="80"/>
      <c r="V14" s="80"/>
      <c r="W14" s="80"/>
      <c r="X14" s="80"/>
      <c r="Y14" s="80"/>
      <c r="Z14" s="80"/>
      <c r="AA14" s="80"/>
      <c r="AB14" s="80"/>
      <c r="AC14" s="80"/>
      <c r="AD14" s="80"/>
      <c r="AE14" s="80"/>
      <c r="AF14" s="80"/>
      <c r="AG14" s="80"/>
      <c r="AH14" s="80"/>
      <c r="AI14" s="80"/>
    </row>
    <row r="15" spans="1:35">
      <c r="A15" s="745">
        <f>ROW()</f>
        <v>15</v>
      </c>
      <c r="B15" s="238" t="s">
        <v>217</v>
      </c>
      <c r="C15" s="205"/>
      <c r="D15" s="205"/>
      <c r="E15" s="205"/>
      <c r="F15" s="923">
        <f>' Enrol &amp; Rev'!G15</f>
        <v>0</v>
      </c>
      <c r="G15" s="923">
        <f>' Enrol &amp; Rev'!H15</f>
        <v>3</v>
      </c>
      <c r="H15" s="923">
        <f>' Enrol &amp; Rev'!I15</f>
        <v>4</v>
      </c>
      <c r="I15" s="923">
        <f>' Enrol &amp; Rev'!J15</f>
        <v>5</v>
      </c>
      <c r="J15" s="923">
        <f>' Enrol &amp; Rev'!K15</f>
        <v>6</v>
      </c>
      <c r="K15" s="923">
        <f>' Enrol &amp; Rev'!L15</f>
        <v>6</v>
      </c>
      <c r="L15" s="923">
        <f>' Enrol &amp; Rev'!M15</f>
        <v>6</v>
      </c>
      <c r="R15" s="541"/>
    </row>
    <row r="16" spans="1:35">
      <c r="A16" s="745">
        <f>ROW()</f>
        <v>16</v>
      </c>
      <c r="B16" s="110" t="s">
        <v>218</v>
      </c>
      <c r="F16" s="1005">
        <f>' Enrol &amp; Rev'!G17</f>
        <v>0</v>
      </c>
      <c r="G16" s="1006">
        <f>' Enrol &amp; Rev'!H17</f>
        <v>9</v>
      </c>
      <c r="H16" s="1006">
        <f>' Enrol &amp; Rev'!I17</f>
        <v>12</v>
      </c>
      <c r="I16" s="1006">
        <f>' Enrol &amp; Rev'!J17</f>
        <v>15</v>
      </c>
      <c r="J16" s="1006">
        <f>' Enrol &amp; Rev'!K17</f>
        <v>18</v>
      </c>
      <c r="K16" s="1006">
        <f>' Enrol &amp; Rev'!L17</f>
        <v>18</v>
      </c>
      <c r="L16" s="1006">
        <f>' Enrol &amp; Rev'!M17</f>
        <v>18</v>
      </c>
      <c r="R16" s="541"/>
    </row>
    <row r="17" spans="1:35" hidden="1">
      <c r="A17" s="745">
        <f>ROW()</f>
        <v>17</v>
      </c>
      <c r="B17" s="52"/>
      <c r="C17" s="486"/>
      <c r="D17" s="486"/>
      <c r="E17" s="486"/>
      <c r="F17" s="922"/>
      <c r="G17" s="922"/>
      <c r="H17" s="922"/>
      <c r="I17" s="922"/>
      <c r="J17" s="922"/>
      <c r="K17" s="922"/>
      <c r="L17" s="922"/>
      <c r="R17" s="541"/>
    </row>
    <row r="18" spans="1:35" s="84" customFormat="1" hidden="1">
      <c r="A18" s="745">
        <f>ROW()</f>
        <v>18</v>
      </c>
      <c r="B18" s="1842" t="s">
        <v>219</v>
      </c>
      <c r="C18" s="567"/>
      <c r="D18" s="567"/>
      <c r="E18" s="567"/>
      <c r="F18" s="880">
        <f>' Enrol &amp; Rev'!G21</f>
        <v>0</v>
      </c>
      <c r="G18" s="880">
        <f>' Enrol &amp; Rev'!H21</f>
        <v>60</v>
      </c>
      <c r="H18" s="880">
        <f>' Enrol &amp; Rev'!I21</f>
        <v>60</v>
      </c>
      <c r="I18" s="880">
        <f>' Enrol &amp; Rev'!J21</f>
        <v>60</v>
      </c>
      <c r="J18" s="880">
        <f>' Enrol &amp; Rev'!K21</f>
        <v>60</v>
      </c>
      <c r="K18" s="880">
        <f>' Enrol &amp; Rev'!L21</f>
        <v>60</v>
      </c>
      <c r="L18" s="880">
        <f>' Enrol &amp; Rev'!M21</f>
        <v>60</v>
      </c>
      <c r="R18" s="541"/>
      <c r="S18" s="80"/>
      <c r="T18" s="80"/>
      <c r="U18" s="80"/>
      <c r="V18" s="80"/>
      <c r="W18" s="80"/>
      <c r="X18" s="80"/>
      <c r="Y18" s="80"/>
      <c r="Z18" s="80"/>
      <c r="AA18" s="80"/>
      <c r="AB18" s="80"/>
      <c r="AC18" s="80"/>
      <c r="AD18" s="80"/>
      <c r="AE18" s="80"/>
      <c r="AF18" s="80"/>
      <c r="AG18" s="80"/>
      <c r="AH18" s="80"/>
      <c r="AI18" s="80"/>
    </row>
    <row r="19" spans="1:35" s="84" customFormat="1" hidden="1">
      <c r="A19" s="745">
        <f>ROW()</f>
        <v>19</v>
      </c>
      <c r="B19" s="568" t="s">
        <v>220</v>
      </c>
      <c r="C19" s="567"/>
      <c r="D19" s="567"/>
      <c r="E19" s="567"/>
      <c r="F19" s="881">
        <f>' Enrol &amp; Rev'!G22</f>
        <v>0</v>
      </c>
      <c r="G19" s="881">
        <f>' Enrol &amp; Rev'!H22</f>
        <v>60</v>
      </c>
      <c r="H19" s="881">
        <f>' Enrol &amp; Rev'!I22</f>
        <v>60</v>
      </c>
      <c r="I19" s="881">
        <f>' Enrol &amp; Rev'!J22</f>
        <v>60</v>
      </c>
      <c r="J19" s="881">
        <f>' Enrol &amp; Rev'!K22</f>
        <v>60</v>
      </c>
      <c r="K19" s="881">
        <f>' Enrol &amp; Rev'!L22</f>
        <v>60</v>
      </c>
      <c r="L19" s="881">
        <f>' Enrol &amp; Rev'!M22</f>
        <v>60</v>
      </c>
      <c r="R19" s="541"/>
      <c r="S19" s="80"/>
      <c r="T19" s="80"/>
      <c r="U19" s="80"/>
      <c r="V19" s="80"/>
      <c r="W19" s="80"/>
      <c r="X19" s="80"/>
      <c r="Y19" s="80"/>
      <c r="Z19" s="80"/>
      <c r="AA19" s="80"/>
      <c r="AB19" s="80"/>
      <c r="AC19" s="80"/>
      <c r="AD19" s="80"/>
      <c r="AE19" s="80"/>
      <c r="AF19" s="80"/>
      <c r="AG19" s="80"/>
      <c r="AH19" s="80"/>
      <c r="AI19" s="80"/>
    </row>
    <row r="20" spans="1:35" s="84" customFormat="1" hidden="1">
      <c r="A20" s="745">
        <f>ROW()</f>
        <v>20</v>
      </c>
      <c r="B20" s="568" t="s">
        <v>221</v>
      </c>
      <c r="C20" s="567"/>
      <c r="D20" s="567"/>
      <c r="E20" s="567"/>
      <c r="F20" s="881">
        <f>' Enrol &amp; Rev'!G23</f>
        <v>0</v>
      </c>
      <c r="G20" s="882">
        <f>' Enrol &amp; Rev'!H23</f>
        <v>60</v>
      </c>
      <c r="H20" s="882">
        <f>' Enrol &amp; Rev'!I23</f>
        <v>60</v>
      </c>
      <c r="I20" s="882">
        <f>' Enrol &amp; Rev'!J23</f>
        <v>60</v>
      </c>
      <c r="J20" s="882">
        <f>' Enrol &amp; Rev'!K23</f>
        <v>60</v>
      </c>
      <c r="K20" s="882">
        <f>' Enrol &amp; Rev'!L23</f>
        <v>60</v>
      </c>
      <c r="L20" s="882">
        <f>' Enrol &amp; Rev'!M23</f>
        <v>60</v>
      </c>
      <c r="R20" s="541"/>
      <c r="S20" s="80"/>
      <c r="T20" s="80"/>
      <c r="U20" s="80"/>
      <c r="V20" s="80"/>
      <c r="W20" s="80"/>
      <c r="X20" s="80"/>
      <c r="Y20" s="80"/>
      <c r="Z20" s="80"/>
      <c r="AA20" s="80"/>
      <c r="AB20" s="80"/>
      <c r="AC20" s="80"/>
      <c r="AD20" s="80"/>
      <c r="AE20" s="80"/>
      <c r="AF20" s="80"/>
      <c r="AG20" s="80"/>
      <c r="AH20" s="80"/>
      <c r="AI20" s="80"/>
    </row>
    <row r="21" spans="1:35" s="84" customFormat="1" hidden="1">
      <c r="A21" s="745">
        <f>ROW()</f>
        <v>21</v>
      </c>
      <c r="B21" s="568" t="s">
        <v>222</v>
      </c>
      <c r="C21" s="567"/>
      <c r="D21" s="567"/>
      <c r="E21" s="567"/>
      <c r="F21" s="883">
        <f>' Enrol &amp; Rev'!G24</f>
        <v>0</v>
      </c>
      <c r="G21" s="884">
        <f>' Enrol &amp; Rev'!H24</f>
        <v>0</v>
      </c>
      <c r="H21" s="884">
        <f>' Enrol &amp; Rev'!I24</f>
        <v>60</v>
      </c>
      <c r="I21" s="884">
        <f>' Enrol &amp; Rev'!J24</f>
        <v>60</v>
      </c>
      <c r="J21" s="884">
        <f>' Enrol &amp; Rev'!K24</f>
        <v>60</v>
      </c>
      <c r="K21" s="884">
        <f>' Enrol &amp; Rev'!L24</f>
        <v>60</v>
      </c>
      <c r="L21" s="884">
        <f>' Enrol &amp; Rev'!M24</f>
        <v>60</v>
      </c>
      <c r="R21" s="541"/>
      <c r="S21" s="80"/>
      <c r="T21" s="80"/>
      <c r="U21" s="80"/>
      <c r="V21" s="80"/>
      <c r="W21" s="80"/>
      <c r="X21" s="80"/>
      <c r="Y21" s="80"/>
      <c r="Z21" s="80"/>
      <c r="AA21" s="80"/>
      <c r="AB21" s="80"/>
      <c r="AC21" s="80"/>
      <c r="AD21" s="80"/>
      <c r="AE21" s="80"/>
      <c r="AF21" s="80"/>
      <c r="AG21" s="80"/>
      <c r="AH21" s="80"/>
      <c r="AI21" s="80"/>
    </row>
    <row r="22" spans="1:35" s="84" customFormat="1" hidden="1">
      <c r="A22" s="745">
        <f>ROW()</f>
        <v>22</v>
      </c>
      <c r="B22" s="568" t="s">
        <v>223</v>
      </c>
      <c r="C22" s="567"/>
      <c r="D22" s="567"/>
      <c r="E22" s="567"/>
      <c r="F22" s="883">
        <f>' Enrol &amp; Rev'!G25</f>
        <v>0</v>
      </c>
      <c r="G22" s="884">
        <f>' Enrol &amp; Rev'!H25</f>
        <v>0</v>
      </c>
      <c r="H22" s="884">
        <f>' Enrol &amp; Rev'!I25</f>
        <v>0</v>
      </c>
      <c r="I22" s="884">
        <f>' Enrol &amp; Rev'!J25</f>
        <v>60</v>
      </c>
      <c r="J22" s="884">
        <f>' Enrol &amp; Rev'!K25</f>
        <v>60</v>
      </c>
      <c r="K22" s="884">
        <f>' Enrol &amp; Rev'!L25</f>
        <v>60</v>
      </c>
      <c r="L22" s="884">
        <f>' Enrol &amp; Rev'!M25</f>
        <v>60</v>
      </c>
      <c r="S22" s="80"/>
      <c r="T22" s="80"/>
      <c r="U22" s="80"/>
      <c r="V22" s="80"/>
      <c r="W22" s="80"/>
      <c r="X22" s="80"/>
      <c r="Y22" s="80"/>
      <c r="Z22" s="80"/>
      <c r="AA22" s="80"/>
      <c r="AB22" s="80"/>
      <c r="AC22" s="80"/>
      <c r="AD22" s="80"/>
      <c r="AE22" s="80"/>
      <c r="AF22" s="80"/>
      <c r="AG22" s="80"/>
      <c r="AH22" s="80"/>
      <c r="AI22" s="80"/>
    </row>
    <row r="23" spans="1:35" s="84" customFormat="1" hidden="1">
      <c r="A23" s="745">
        <f>ROW()</f>
        <v>23</v>
      </c>
      <c r="B23" s="568" t="s">
        <v>224</v>
      </c>
      <c r="C23" s="567"/>
      <c r="D23" s="567"/>
      <c r="E23" s="567"/>
      <c r="F23" s="883">
        <f>' Enrol &amp; Rev'!G26</f>
        <v>0</v>
      </c>
      <c r="G23" s="883">
        <f>' Enrol &amp; Rev'!H26</f>
        <v>0</v>
      </c>
      <c r="H23" s="883">
        <f>' Enrol &amp; Rev'!I26</f>
        <v>0</v>
      </c>
      <c r="I23" s="883">
        <f>' Enrol &amp; Rev'!J26</f>
        <v>0</v>
      </c>
      <c r="J23" s="883">
        <f>' Enrol &amp; Rev'!K26</f>
        <v>60</v>
      </c>
      <c r="K23" s="883">
        <f>' Enrol &amp; Rev'!L26</f>
        <v>60</v>
      </c>
      <c r="L23" s="883">
        <f>' Enrol &amp; Rev'!M26</f>
        <v>60</v>
      </c>
      <c r="S23" s="80"/>
      <c r="T23" s="80"/>
      <c r="U23" s="80"/>
      <c r="V23" s="80"/>
      <c r="W23" s="80"/>
      <c r="X23" s="80"/>
      <c r="Y23" s="80"/>
      <c r="Z23" s="80"/>
      <c r="AA23" s="80"/>
      <c r="AB23" s="80"/>
      <c r="AC23" s="80"/>
      <c r="AD23" s="80"/>
      <c r="AE23" s="80"/>
      <c r="AF23" s="80"/>
      <c r="AG23" s="80"/>
      <c r="AH23" s="80"/>
      <c r="AI23" s="80"/>
    </row>
    <row r="24" spans="1:35" s="84" customFormat="1" hidden="1">
      <c r="A24" s="745">
        <f>ROW()</f>
        <v>24</v>
      </c>
      <c r="B24" s="568" t="s">
        <v>225</v>
      </c>
      <c r="C24" s="567"/>
      <c r="D24" s="567"/>
      <c r="E24" s="567"/>
      <c r="F24" s="883">
        <f>' Enrol &amp; Rev'!G27</f>
        <v>0</v>
      </c>
      <c r="G24" s="883">
        <f>' Enrol &amp; Rev'!H27</f>
        <v>0</v>
      </c>
      <c r="H24" s="885">
        <f>' Enrol &amp; Rev'!I27</f>
        <v>0</v>
      </c>
      <c r="I24" s="885">
        <f>' Enrol &amp; Rev'!J27</f>
        <v>0</v>
      </c>
      <c r="J24" s="885">
        <f>' Enrol &amp; Rev'!K27</f>
        <v>0</v>
      </c>
      <c r="K24" s="885">
        <f>' Enrol &amp; Rev'!L27</f>
        <v>0</v>
      </c>
      <c r="L24" s="885">
        <f>' Enrol &amp; Rev'!M27</f>
        <v>0</v>
      </c>
      <c r="S24" s="80"/>
      <c r="T24" s="80"/>
      <c r="U24" s="80"/>
      <c r="V24" s="80"/>
      <c r="W24" s="80"/>
      <c r="X24" s="80"/>
      <c r="Y24" s="80"/>
      <c r="Z24" s="80"/>
      <c r="AA24" s="80"/>
      <c r="AB24" s="80"/>
      <c r="AC24" s="80"/>
      <c r="AD24" s="80"/>
      <c r="AE24" s="80"/>
      <c r="AF24" s="80"/>
      <c r="AG24" s="80"/>
      <c r="AH24" s="80"/>
      <c r="AI24" s="80"/>
    </row>
    <row r="25" spans="1:35" s="84" customFormat="1" hidden="1">
      <c r="A25" s="745">
        <f>ROW()</f>
        <v>25</v>
      </c>
      <c r="B25" s="568" t="s">
        <v>226</v>
      </c>
      <c r="C25" s="567"/>
      <c r="D25" s="567"/>
      <c r="E25" s="567"/>
      <c r="F25" s="883">
        <f>' Enrol &amp; Rev'!G28</f>
        <v>0</v>
      </c>
      <c r="G25" s="883">
        <f>' Enrol &amp; Rev'!H28</f>
        <v>0</v>
      </c>
      <c r="H25" s="885">
        <f>' Enrol &amp; Rev'!I28</f>
        <v>0</v>
      </c>
      <c r="I25" s="885">
        <f>' Enrol &amp; Rev'!J28</f>
        <v>0</v>
      </c>
      <c r="J25" s="885">
        <f>' Enrol &amp; Rev'!K28</f>
        <v>0</v>
      </c>
      <c r="K25" s="885">
        <f>' Enrol &amp; Rev'!L28</f>
        <v>0</v>
      </c>
      <c r="L25" s="885">
        <f>' Enrol &amp; Rev'!M28</f>
        <v>0</v>
      </c>
      <c r="S25" s="80"/>
      <c r="T25" s="80"/>
      <c r="U25" s="80"/>
      <c r="V25" s="80"/>
      <c r="W25" s="80"/>
      <c r="X25" s="80"/>
      <c r="Y25" s="80"/>
      <c r="Z25" s="80"/>
      <c r="AA25" s="80"/>
      <c r="AB25" s="80"/>
      <c r="AC25" s="80"/>
      <c r="AD25" s="80"/>
      <c r="AE25" s="80"/>
      <c r="AF25" s="80"/>
      <c r="AG25" s="80"/>
      <c r="AH25" s="80"/>
      <c r="AI25" s="80"/>
    </row>
    <row r="26" spans="1:35" s="84" customFormat="1" hidden="1">
      <c r="A26" s="745">
        <f>ROW()</f>
        <v>26</v>
      </c>
      <c r="B26" s="568" t="s">
        <v>227</v>
      </c>
      <c r="C26" s="567"/>
      <c r="D26" s="567"/>
      <c r="E26" s="567"/>
      <c r="F26" s="883">
        <f>' Enrol &amp; Rev'!G29</f>
        <v>0</v>
      </c>
      <c r="G26" s="883">
        <f>' Enrol &amp; Rev'!H29</f>
        <v>0</v>
      </c>
      <c r="H26" s="885">
        <f>' Enrol &amp; Rev'!I29</f>
        <v>0</v>
      </c>
      <c r="I26" s="885">
        <f>' Enrol &amp; Rev'!J29</f>
        <v>0</v>
      </c>
      <c r="J26" s="885">
        <f>' Enrol &amp; Rev'!K29</f>
        <v>0</v>
      </c>
      <c r="K26" s="885">
        <f>' Enrol &amp; Rev'!L29</f>
        <v>0</v>
      </c>
      <c r="L26" s="885">
        <f>' Enrol &amp; Rev'!M29</f>
        <v>0</v>
      </c>
      <c r="S26" s="80"/>
      <c r="T26" s="80"/>
      <c r="U26" s="80"/>
      <c r="V26" s="80"/>
      <c r="W26" s="80"/>
      <c r="X26" s="80"/>
      <c r="Y26" s="80"/>
      <c r="Z26" s="80"/>
      <c r="AA26" s="80"/>
      <c r="AB26" s="80"/>
      <c r="AC26" s="80"/>
      <c r="AD26" s="80"/>
      <c r="AE26" s="80"/>
      <c r="AF26" s="80"/>
      <c r="AG26" s="80"/>
      <c r="AH26" s="80"/>
      <c r="AI26" s="80"/>
    </row>
    <row r="27" spans="1:35" s="84" customFormat="1" hidden="1">
      <c r="A27" s="745">
        <f>ROW()</f>
        <v>27</v>
      </c>
      <c r="B27" s="568" t="s">
        <v>228</v>
      </c>
      <c r="C27" s="567"/>
      <c r="D27" s="567"/>
      <c r="E27" s="567"/>
      <c r="F27" s="883">
        <f>' Enrol &amp; Rev'!G30</f>
        <v>0</v>
      </c>
      <c r="G27" s="883">
        <f>' Enrol &amp; Rev'!H30</f>
        <v>0</v>
      </c>
      <c r="H27" s="885">
        <f>' Enrol &amp; Rev'!I30</f>
        <v>0</v>
      </c>
      <c r="I27" s="885">
        <f>' Enrol &amp; Rev'!J30</f>
        <v>0</v>
      </c>
      <c r="J27" s="885">
        <f>' Enrol &amp; Rev'!K30</f>
        <v>0</v>
      </c>
      <c r="K27" s="885">
        <f>' Enrol &amp; Rev'!L30</f>
        <v>0</v>
      </c>
      <c r="L27" s="885">
        <f>' Enrol &amp; Rev'!M30</f>
        <v>0</v>
      </c>
      <c r="S27" s="80"/>
      <c r="T27" s="80"/>
      <c r="U27" s="80"/>
      <c r="V27" s="80"/>
      <c r="W27" s="80"/>
      <c r="X27" s="80"/>
      <c r="Y27" s="80"/>
      <c r="Z27" s="80"/>
      <c r="AA27" s="80"/>
      <c r="AB27" s="80"/>
      <c r="AC27" s="80"/>
      <c r="AD27" s="80"/>
      <c r="AE27" s="80"/>
      <c r="AF27" s="80"/>
      <c r="AG27" s="80"/>
      <c r="AH27" s="80"/>
      <c r="AI27" s="80"/>
    </row>
    <row r="28" spans="1:35" s="84" customFormat="1" hidden="1">
      <c r="A28" s="745">
        <f>ROW()</f>
        <v>28</v>
      </c>
      <c r="B28" s="568" t="s">
        <v>229</v>
      </c>
      <c r="C28" s="567"/>
      <c r="D28" s="567"/>
      <c r="E28" s="567"/>
      <c r="F28" s="883">
        <f>' Enrol &amp; Rev'!G31</f>
        <v>0</v>
      </c>
      <c r="G28" s="883">
        <f>' Enrol &amp; Rev'!H31</f>
        <v>0</v>
      </c>
      <c r="H28" s="885">
        <f>' Enrol &amp; Rev'!I31</f>
        <v>0</v>
      </c>
      <c r="I28" s="885">
        <f>' Enrol &amp; Rev'!J31</f>
        <v>0</v>
      </c>
      <c r="J28" s="885">
        <f>' Enrol &amp; Rev'!K31</f>
        <v>0</v>
      </c>
      <c r="K28" s="885">
        <f>' Enrol &amp; Rev'!L31</f>
        <v>0</v>
      </c>
      <c r="L28" s="885">
        <f>' Enrol &amp; Rev'!M31</f>
        <v>0</v>
      </c>
      <c r="S28" s="80"/>
      <c r="T28" s="80"/>
      <c r="U28" s="80"/>
      <c r="V28" s="80"/>
      <c r="W28" s="80"/>
      <c r="X28" s="80"/>
      <c r="Y28" s="80"/>
      <c r="Z28" s="80"/>
      <c r="AA28" s="80"/>
      <c r="AB28" s="80"/>
      <c r="AC28" s="80"/>
      <c r="AD28" s="80"/>
      <c r="AE28" s="80"/>
      <c r="AF28" s="80"/>
      <c r="AG28" s="80"/>
      <c r="AH28" s="80"/>
      <c r="AI28" s="80"/>
    </row>
    <row r="29" spans="1:35" s="84" customFormat="1" hidden="1">
      <c r="A29" s="745">
        <f>ROW()</f>
        <v>29</v>
      </c>
      <c r="B29" s="568" t="s">
        <v>230</v>
      </c>
      <c r="C29" s="567"/>
      <c r="D29" s="567"/>
      <c r="E29" s="567"/>
      <c r="F29" s="883">
        <f>' Enrol &amp; Rev'!G32</f>
        <v>0</v>
      </c>
      <c r="G29" s="883">
        <f>' Enrol &amp; Rev'!H32</f>
        <v>0</v>
      </c>
      <c r="H29" s="885">
        <f>' Enrol &amp; Rev'!I32</f>
        <v>0</v>
      </c>
      <c r="I29" s="885">
        <f>' Enrol &amp; Rev'!J32</f>
        <v>0</v>
      </c>
      <c r="J29" s="885">
        <f>' Enrol &amp; Rev'!K32</f>
        <v>0</v>
      </c>
      <c r="K29" s="885">
        <f>' Enrol &amp; Rev'!L32</f>
        <v>0</v>
      </c>
      <c r="L29" s="885">
        <f>' Enrol &amp; Rev'!M32</f>
        <v>0</v>
      </c>
      <c r="S29" s="80"/>
      <c r="T29" s="80"/>
      <c r="U29" s="80"/>
      <c r="V29" s="80"/>
      <c r="W29" s="80"/>
      <c r="X29" s="80"/>
      <c r="Y29" s="80"/>
      <c r="Z29" s="80"/>
      <c r="AA29" s="80"/>
      <c r="AB29" s="80"/>
      <c r="AC29" s="80"/>
      <c r="AD29" s="80"/>
      <c r="AE29" s="80"/>
      <c r="AF29" s="80"/>
      <c r="AG29" s="80"/>
      <c r="AH29" s="80"/>
      <c r="AI29" s="80"/>
    </row>
    <row r="30" spans="1:35" s="84" customFormat="1" hidden="1">
      <c r="A30" s="745">
        <f>ROW()</f>
        <v>30</v>
      </c>
      <c r="B30" s="568" t="s">
        <v>231</v>
      </c>
      <c r="C30" s="567"/>
      <c r="D30" s="567"/>
      <c r="E30" s="567"/>
      <c r="F30" s="886">
        <f>' Enrol &amp; Rev'!G33</f>
        <v>0</v>
      </c>
      <c r="G30" s="886">
        <f>' Enrol &amp; Rev'!H33</f>
        <v>0</v>
      </c>
      <c r="H30" s="887">
        <f>' Enrol &amp; Rev'!I33</f>
        <v>0</v>
      </c>
      <c r="I30" s="887">
        <f>' Enrol &amp; Rev'!J33</f>
        <v>0</v>
      </c>
      <c r="J30" s="887">
        <f>' Enrol &amp; Rev'!K33</f>
        <v>0</v>
      </c>
      <c r="K30" s="887">
        <f>' Enrol &amp; Rev'!L33</f>
        <v>0</v>
      </c>
      <c r="L30" s="887">
        <f>' Enrol &amp; Rev'!M33</f>
        <v>0</v>
      </c>
      <c r="S30" s="80"/>
      <c r="T30" s="80"/>
      <c r="U30" s="80"/>
      <c r="V30" s="80"/>
      <c r="W30" s="80"/>
      <c r="X30" s="80"/>
      <c r="Y30" s="80"/>
      <c r="Z30" s="80"/>
      <c r="AA30" s="80"/>
      <c r="AB30" s="80"/>
      <c r="AC30" s="80"/>
      <c r="AD30" s="80"/>
      <c r="AE30" s="80"/>
      <c r="AF30" s="80"/>
      <c r="AG30" s="80"/>
      <c r="AH30" s="80"/>
      <c r="AI30" s="80"/>
    </row>
    <row r="31" spans="1:35" ht="15.75">
      <c r="A31" s="745">
        <f>ROW()</f>
        <v>31</v>
      </c>
      <c r="B31" s="924" t="s">
        <v>232</v>
      </c>
      <c r="C31" s="721"/>
      <c r="D31" s="721"/>
      <c r="E31" s="721"/>
      <c r="F31" s="695"/>
      <c r="G31" s="1226">
        <f t="shared" ref="G31:L31" si="2">SUM(G18:G30)</f>
        <v>180</v>
      </c>
      <c r="H31" s="1226">
        <f t="shared" si="2"/>
        <v>240</v>
      </c>
      <c r="I31" s="1226">
        <f t="shared" si="2"/>
        <v>300</v>
      </c>
      <c r="J31" s="1226">
        <f t="shared" si="2"/>
        <v>360</v>
      </c>
      <c r="K31" s="1226">
        <f t="shared" si="2"/>
        <v>360</v>
      </c>
      <c r="L31" s="1226">
        <f t="shared" si="2"/>
        <v>360</v>
      </c>
      <c r="R31" s="541"/>
    </row>
    <row r="32" spans="1:35">
      <c r="A32" s="745">
        <f>ROW()</f>
        <v>32</v>
      </c>
      <c r="B32" s="114" t="s">
        <v>549</v>
      </c>
      <c r="C32" s="114"/>
      <c r="D32" s="114"/>
      <c r="E32" s="114"/>
      <c r="F32" s="696"/>
      <c r="G32" s="888">
        <f>IFERROR(G31/G16,0)</f>
        <v>20</v>
      </c>
      <c r="H32" s="888">
        <f t="shared" ref="H32:L32" si="3">IFERROR(H31/H16,0)</f>
        <v>20</v>
      </c>
      <c r="I32" s="888">
        <f t="shared" si="3"/>
        <v>20</v>
      </c>
      <c r="J32" s="888">
        <f t="shared" si="3"/>
        <v>20</v>
      </c>
      <c r="K32" s="888">
        <f t="shared" si="3"/>
        <v>20</v>
      </c>
      <c r="L32" s="888">
        <f t="shared" si="3"/>
        <v>20</v>
      </c>
      <c r="R32" s="541"/>
    </row>
    <row r="33" spans="1:18">
      <c r="A33" s="745">
        <f>ROW()</f>
        <v>33</v>
      </c>
      <c r="B33" s="688" t="s">
        <v>256</v>
      </c>
      <c r="C33" s="114"/>
      <c r="D33" s="114"/>
      <c r="E33" s="114"/>
      <c r="F33" s="697">
        <f>' Enrol &amp; Rev'!G36</f>
        <v>0</v>
      </c>
      <c r="G33" s="889">
        <f>' Enrol &amp; Rev'!H36</f>
        <v>0.9</v>
      </c>
      <c r="H33" s="890">
        <f>' Enrol &amp; Rev'!I36</f>
        <v>0.9</v>
      </c>
      <c r="I33" s="890">
        <f>' Enrol &amp; Rev'!J36</f>
        <v>0.9</v>
      </c>
      <c r="J33" s="890">
        <f>' Enrol &amp; Rev'!K36</f>
        <v>0.9</v>
      </c>
      <c r="K33" s="890">
        <f>' Enrol &amp; Rev'!L36</f>
        <v>0.9</v>
      </c>
      <c r="L33" s="890">
        <f>' Enrol &amp; Rev'!M36</f>
        <v>0.9</v>
      </c>
      <c r="R33" s="541"/>
    </row>
    <row r="34" spans="1:18">
      <c r="A34" s="745">
        <f>ROW()</f>
        <v>34</v>
      </c>
      <c r="B34" s="688" t="s">
        <v>550</v>
      </c>
      <c r="C34" s="114"/>
      <c r="D34" s="114"/>
      <c r="E34" s="114"/>
      <c r="F34" s="698"/>
      <c r="G34" s="891">
        <f t="shared" ref="G34:L34" si="4">+G31*(1-G33)</f>
        <v>17.999999999999996</v>
      </c>
      <c r="H34" s="891">
        <f t="shared" si="4"/>
        <v>23.999999999999993</v>
      </c>
      <c r="I34" s="891">
        <f t="shared" si="4"/>
        <v>29.999999999999993</v>
      </c>
      <c r="J34" s="891">
        <f t="shared" si="4"/>
        <v>35.999999999999993</v>
      </c>
      <c r="K34" s="891">
        <f t="shared" si="4"/>
        <v>35.999999999999993</v>
      </c>
      <c r="L34" s="891">
        <f t="shared" si="4"/>
        <v>35.999999999999993</v>
      </c>
      <c r="R34" s="541"/>
    </row>
    <row r="35" spans="1:18">
      <c r="A35" s="745">
        <f>ROW()</f>
        <v>35</v>
      </c>
      <c r="B35" s="688"/>
      <c r="C35" s="114"/>
      <c r="D35" s="114"/>
      <c r="E35" s="114"/>
      <c r="F35" s="698"/>
      <c r="G35" s="891"/>
      <c r="H35" s="891"/>
      <c r="I35" s="891"/>
      <c r="J35" s="891"/>
      <c r="K35" s="891"/>
      <c r="L35" s="891"/>
      <c r="R35" s="541"/>
    </row>
    <row r="36" spans="1:18">
      <c r="A36" s="745">
        <f>ROW()</f>
        <v>36</v>
      </c>
      <c r="B36" s="114" t="s">
        <v>551</v>
      </c>
      <c r="C36" s="114"/>
      <c r="D36" s="114"/>
      <c r="E36" s="114"/>
      <c r="F36" s="697">
        <f>' Enrol &amp; Rev'!G61</f>
        <v>0</v>
      </c>
      <c r="G36" s="889">
        <f>' Enrol &amp; Rev'!H61</f>
        <v>0.52020000000000011</v>
      </c>
      <c r="H36" s="890">
        <f>' Enrol &amp; Rev'!I61</f>
        <v>0.52020000000000011</v>
      </c>
      <c r="I36" s="890">
        <f>' Enrol &amp; Rev'!J61</f>
        <v>0.52020000000000011</v>
      </c>
      <c r="J36" s="890">
        <f>' Enrol &amp; Rev'!K61</f>
        <v>0.52020000000000011</v>
      </c>
      <c r="K36" s="890">
        <f>' Enrol &amp; Rev'!L61</f>
        <v>0.52020000000000011</v>
      </c>
      <c r="L36" s="890">
        <f>' Enrol &amp; Rev'!M61</f>
        <v>0.52020000000000011</v>
      </c>
      <c r="R36" s="541"/>
    </row>
    <row r="37" spans="1:18">
      <c r="A37" s="745">
        <f>ROW()</f>
        <v>37</v>
      </c>
      <c r="B37" s="114" t="s">
        <v>552</v>
      </c>
      <c r="C37" s="114"/>
      <c r="D37" s="114"/>
      <c r="E37" s="114"/>
      <c r="F37" s="699"/>
      <c r="G37" s="892">
        <f t="shared" ref="G37:L37" si="5">+G$31*G36</f>
        <v>93.636000000000024</v>
      </c>
      <c r="H37" s="892">
        <f t="shared" si="5"/>
        <v>124.84800000000003</v>
      </c>
      <c r="I37" s="892">
        <f t="shared" si="5"/>
        <v>156.06000000000003</v>
      </c>
      <c r="J37" s="892">
        <f t="shared" si="5"/>
        <v>187.27200000000005</v>
      </c>
      <c r="K37" s="892">
        <f t="shared" si="5"/>
        <v>187.27200000000005</v>
      </c>
      <c r="L37" s="892">
        <f t="shared" si="5"/>
        <v>187.27200000000005</v>
      </c>
      <c r="R37" s="541"/>
    </row>
    <row r="38" spans="1:18">
      <c r="A38" s="745">
        <f>ROW()</f>
        <v>38</v>
      </c>
      <c r="B38" s="114" t="s">
        <v>281</v>
      </c>
      <c r="C38" s="114"/>
      <c r="D38" s="114"/>
      <c r="E38" s="114"/>
      <c r="F38" s="697">
        <f>' Enrol &amp; Rev'!G62</f>
        <v>0</v>
      </c>
      <c r="G38" s="889">
        <f>' Enrol &amp; Rev'!H62</f>
        <v>0.36000000000000004</v>
      </c>
      <c r="H38" s="890">
        <f>' Enrol &amp; Rev'!I62</f>
        <v>0.36000000000000004</v>
      </c>
      <c r="I38" s="890">
        <f>' Enrol &amp; Rev'!J62</f>
        <v>0.36000000000000004</v>
      </c>
      <c r="J38" s="890">
        <f>' Enrol &amp; Rev'!K62</f>
        <v>0.36000000000000004</v>
      </c>
      <c r="K38" s="890">
        <f>' Enrol &amp; Rev'!L62</f>
        <v>0.36000000000000004</v>
      </c>
      <c r="L38" s="890">
        <f>' Enrol &amp; Rev'!M62</f>
        <v>0.36000000000000004</v>
      </c>
      <c r="R38" s="541"/>
    </row>
    <row r="39" spans="1:18">
      <c r="A39" s="745">
        <f>ROW()</f>
        <v>39</v>
      </c>
      <c r="B39" s="114" t="s">
        <v>553</v>
      </c>
      <c r="C39" s="114"/>
      <c r="D39" s="114"/>
      <c r="E39" s="114"/>
      <c r="F39" s="699"/>
      <c r="G39" s="892">
        <f t="shared" ref="G39:L39" si="6">+G$31*G38</f>
        <v>64.800000000000011</v>
      </c>
      <c r="H39" s="892">
        <f t="shared" si="6"/>
        <v>86.4</v>
      </c>
      <c r="I39" s="892">
        <f t="shared" si="6"/>
        <v>108.00000000000001</v>
      </c>
      <c r="J39" s="892">
        <f t="shared" si="6"/>
        <v>129.60000000000002</v>
      </c>
      <c r="K39" s="892">
        <f t="shared" si="6"/>
        <v>129.60000000000002</v>
      </c>
      <c r="L39" s="892">
        <f t="shared" si="6"/>
        <v>129.60000000000002</v>
      </c>
      <c r="R39" s="541"/>
    </row>
    <row r="40" spans="1:18">
      <c r="A40" s="745">
        <f>ROW()</f>
        <v>40</v>
      </c>
      <c r="B40" s="114" t="s">
        <v>282</v>
      </c>
      <c r="C40" s="114"/>
      <c r="D40" s="114"/>
      <c r="E40" s="114"/>
      <c r="F40" s="697">
        <f>' Enrol &amp; Rev'!G63</f>
        <v>0</v>
      </c>
      <c r="G40" s="889">
        <f>' Enrol &amp; Rev'!H63</f>
        <v>0.12</v>
      </c>
      <c r="H40" s="890">
        <f>' Enrol &amp; Rev'!I63</f>
        <v>0.12</v>
      </c>
      <c r="I40" s="890">
        <f>' Enrol &amp; Rev'!J63</f>
        <v>0.12</v>
      </c>
      <c r="J40" s="890">
        <f>' Enrol &amp; Rev'!K63</f>
        <v>0.12</v>
      </c>
      <c r="K40" s="890">
        <f>' Enrol &amp; Rev'!L63</f>
        <v>0.12</v>
      </c>
      <c r="L40" s="890">
        <f>' Enrol &amp; Rev'!M63</f>
        <v>0.12</v>
      </c>
      <c r="R40" s="541"/>
    </row>
    <row r="41" spans="1:18">
      <c r="A41" s="745">
        <f>ROW()</f>
        <v>41</v>
      </c>
      <c r="B41" s="114" t="s">
        <v>283</v>
      </c>
      <c r="C41" s="114"/>
      <c r="D41" s="114"/>
      <c r="E41" s="114"/>
      <c r="F41" s="699"/>
      <c r="G41" s="892">
        <f t="shared" ref="G41:L41" si="7">+G$31*G40</f>
        <v>21.599999999999998</v>
      </c>
      <c r="H41" s="892">
        <f t="shared" si="7"/>
        <v>28.799999999999997</v>
      </c>
      <c r="I41" s="892">
        <f t="shared" si="7"/>
        <v>36</v>
      </c>
      <c r="J41" s="892">
        <f t="shared" si="7"/>
        <v>43.199999999999996</v>
      </c>
      <c r="K41" s="892">
        <f t="shared" si="7"/>
        <v>43.199999999999996</v>
      </c>
      <c r="L41" s="892">
        <f t="shared" si="7"/>
        <v>43.199999999999996</v>
      </c>
      <c r="R41" s="541"/>
    </row>
    <row r="42" spans="1:18">
      <c r="A42" s="745">
        <f>ROW()</f>
        <v>42</v>
      </c>
      <c r="B42" s="114"/>
      <c r="C42" s="114"/>
      <c r="D42" s="114"/>
      <c r="E42" s="114"/>
      <c r="F42" s="700"/>
      <c r="G42" s="893"/>
      <c r="H42" s="894"/>
      <c r="I42" s="894"/>
      <c r="J42" s="894"/>
      <c r="K42" s="894"/>
      <c r="L42" s="894"/>
      <c r="R42" s="541"/>
    </row>
    <row r="43" spans="1:18">
      <c r="A43" s="745">
        <f>ROW()</f>
        <v>43</v>
      </c>
      <c r="B43" s="114"/>
      <c r="C43" s="114"/>
      <c r="D43" s="114"/>
      <c r="E43" s="114"/>
      <c r="F43" s="701"/>
      <c r="G43" s="895"/>
      <c r="H43" s="895"/>
      <c r="I43" s="895"/>
      <c r="J43" s="895"/>
      <c r="K43" s="895"/>
      <c r="L43" s="895"/>
      <c r="R43" s="541"/>
    </row>
    <row r="44" spans="1:18">
      <c r="A44" s="745">
        <f>ROW()</f>
        <v>44</v>
      </c>
      <c r="B44" s="925"/>
      <c r="C44" s="925"/>
      <c r="D44" s="925"/>
      <c r="E44" s="925"/>
      <c r="F44" s="926"/>
      <c r="G44" s="927"/>
      <c r="H44" s="927"/>
      <c r="I44" s="927"/>
      <c r="J44" s="928"/>
      <c r="K44" s="928"/>
      <c r="L44" s="928"/>
      <c r="M44" s="119"/>
      <c r="N44" s="119"/>
      <c r="O44" s="119"/>
      <c r="P44" s="119"/>
      <c r="Q44" s="119"/>
      <c r="R44" s="541"/>
    </row>
    <row r="45" spans="1:18" ht="15.75">
      <c r="A45" s="745">
        <f>ROW()</f>
        <v>45</v>
      </c>
      <c r="B45" s="929" t="s">
        <v>200</v>
      </c>
      <c r="C45" s="721">
        <f t="shared" ref="C45" si="8">SUM(G45:L45)</f>
        <v>19244109.325277608</v>
      </c>
      <c r="D45" s="721"/>
      <c r="E45" s="721"/>
      <c r="F45" s="930">
        <f>' Enrol &amp; Rev'!G109</f>
        <v>500000</v>
      </c>
      <c r="G45" s="931">
        <f>' Enrol &amp; Rev'!H109</f>
        <v>2248562.8718250003</v>
      </c>
      <c r="H45" s="931">
        <f>' Enrol &amp; Rev'!I109</f>
        <v>2518203.4592864197</v>
      </c>
      <c r="I45" s="931">
        <f>' Enrol &amp; Rev'!J109</f>
        <v>3122001.864325976</v>
      </c>
      <c r="J45" s="931">
        <f>' Enrol &amp; Rev'!K109</f>
        <v>3726926.2693655328</v>
      </c>
      <c r="K45" s="931">
        <f>' Enrol &amp; Rev'!L109</f>
        <v>3810720.4302373398</v>
      </c>
      <c r="L45" s="931">
        <f>' Enrol &amp; Rev'!M109</f>
        <v>3817694.4302373398</v>
      </c>
      <c r="R45" s="541"/>
    </row>
    <row r="46" spans="1:18" ht="15.75">
      <c r="A46" s="745">
        <f>ROW()</f>
        <v>46</v>
      </c>
      <c r="B46" s="114" t="s">
        <v>554</v>
      </c>
      <c r="C46" s="687"/>
      <c r="D46" s="687"/>
      <c r="E46" s="687"/>
      <c r="F46" s="695"/>
      <c r="G46" s="694">
        <f t="shared" ref="G46:L46" si="9">IFERROR(G45/G31,0)</f>
        <v>12492.015954583334</v>
      </c>
      <c r="H46" s="694">
        <f t="shared" si="9"/>
        <v>10492.514413693416</v>
      </c>
      <c r="I46" s="694">
        <f t="shared" si="9"/>
        <v>10406.672881086586</v>
      </c>
      <c r="J46" s="694">
        <f t="shared" si="9"/>
        <v>10352.572970459812</v>
      </c>
      <c r="K46" s="694">
        <f t="shared" si="9"/>
        <v>10585.334528437055</v>
      </c>
      <c r="L46" s="694">
        <f t="shared" si="9"/>
        <v>10604.706750659278</v>
      </c>
      <c r="R46" s="541"/>
    </row>
    <row r="47" spans="1:18" ht="15.75">
      <c r="A47" s="745">
        <f>ROW()</f>
        <v>47</v>
      </c>
      <c r="B47" s="114" t="s">
        <v>555</v>
      </c>
      <c r="C47" s="687">
        <f>SUM(G47:L47)</f>
        <v>2648673.6903350758</v>
      </c>
      <c r="D47" s="687"/>
      <c r="E47" s="687"/>
      <c r="F47" s="695">
        <f>Levers!C16</f>
        <v>0</v>
      </c>
      <c r="G47" s="694">
        <f>Levers!D16</f>
        <v>319978.77</v>
      </c>
      <c r="H47" s="694">
        <f>Levers!E16</f>
        <v>407353.77299999999</v>
      </c>
      <c r="I47" s="694">
        <f>Levers!F16</f>
        <v>514760.74243300001</v>
      </c>
      <c r="J47" s="694">
        <f>Levers!G16</f>
        <v>450240.10303632496</v>
      </c>
      <c r="K47" s="694">
        <f>Levers!H16</f>
        <v>474452.82543950103</v>
      </c>
      <c r="L47" s="694">
        <f>Levers!I16</f>
        <v>481887.47642624995</v>
      </c>
      <c r="R47" s="541"/>
    </row>
    <row r="48" spans="1:18" ht="15.75">
      <c r="A48" s="745">
        <f>ROW()</f>
        <v>48</v>
      </c>
      <c r="B48" s="114" t="s">
        <v>556</v>
      </c>
      <c r="C48" s="687">
        <f>Levers!$B$17</f>
        <v>1471.4853835194865</v>
      </c>
      <c r="D48" s="687"/>
      <c r="E48" s="687"/>
      <c r="F48" s="695"/>
      <c r="G48" s="694">
        <f>Levers!D17</f>
        <v>1777.6598333333334</v>
      </c>
      <c r="H48" s="694">
        <f>Levers!E17</f>
        <v>1697.3073875</v>
      </c>
      <c r="I48" s="694">
        <f>Levers!F17</f>
        <v>1715.8691414433333</v>
      </c>
      <c r="J48" s="694">
        <f>Levers!G17</f>
        <v>1250.6669528786804</v>
      </c>
      <c r="K48" s="694">
        <f>Levers!H17</f>
        <v>1317.924515109725</v>
      </c>
      <c r="L48" s="694">
        <f>Levers!I17</f>
        <v>1338.5763234062499</v>
      </c>
      <c r="R48" s="541"/>
    </row>
    <row r="49" spans="1:18" ht="15.75">
      <c r="A49" s="745">
        <f>ROW()</f>
        <v>49</v>
      </c>
      <c r="B49" s="114" t="s">
        <v>557</v>
      </c>
      <c r="C49" s="687">
        <f>SUM(G49:L49)</f>
        <v>16595435.634942533</v>
      </c>
      <c r="D49" s="687"/>
      <c r="E49" s="687"/>
      <c r="F49" s="695">
        <f>Levers!C18</f>
        <v>500000</v>
      </c>
      <c r="G49" s="694">
        <f>Levers!D18</f>
        <v>1928584.1018250003</v>
      </c>
      <c r="H49" s="694">
        <f>Levers!E18</f>
        <v>2110849.6862864196</v>
      </c>
      <c r="I49" s="694">
        <f>Levers!F18</f>
        <v>2607241.1218929761</v>
      </c>
      <c r="J49" s="694">
        <f>Levers!G18</f>
        <v>3276686.1663292078</v>
      </c>
      <c r="K49" s="694">
        <f>Levers!H18</f>
        <v>3336267.6047978387</v>
      </c>
      <c r="L49" s="694">
        <f>Levers!I18</f>
        <v>3335806.95381109</v>
      </c>
      <c r="R49" s="541"/>
    </row>
    <row r="50" spans="1:18" ht="15.75">
      <c r="A50" s="745">
        <f>ROW()</f>
        <v>50</v>
      </c>
      <c r="B50" s="114" t="s">
        <v>558</v>
      </c>
      <c r="C50" s="687">
        <f>Levers!$B$19</f>
        <v>9497.4642416347397</v>
      </c>
      <c r="D50" s="687"/>
      <c r="E50" s="687"/>
      <c r="F50" s="695"/>
      <c r="G50" s="694">
        <f>Levers!D19</f>
        <v>10714.356121250001</v>
      </c>
      <c r="H50" s="694">
        <f>Levers!E19</f>
        <v>8795.207026193415</v>
      </c>
      <c r="I50" s="694">
        <f>Levers!F19</f>
        <v>8690.8037396432537</v>
      </c>
      <c r="J50" s="694">
        <f>Levers!G19</f>
        <v>9101.9060175811337</v>
      </c>
      <c r="K50" s="694">
        <f>Levers!H19</f>
        <v>9267.4100133273296</v>
      </c>
      <c r="L50" s="694">
        <f>Levers!I19</f>
        <v>9266.1304272530269</v>
      </c>
      <c r="R50" s="541"/>
    </row>
    <row r="51" spans="1:18" ht="15.75">
      <c r="A51" s="745">
        <f>ROW()</f>
        <v>51</v>
      </c>
      <c r="B51" s="114" t="s">
        <v>431</v>
      </c>
      <c r="C51" s="687">
        <f>Levers!B38</f>
        <v>2729019.5429767738</v>
      </c>
      <c r="D51" s="687"/>
      <c r="E51" s="687"/>
      <c r="F51" s="695">
        <f>Levers!C38</f>
        <v>495000</v>
      </c>
      <c r="G51" s="694">
        <f>Levers!D38</f>
        <v>164773.1218250003</v>
      </c>
      <c r="H51" s="694">
        <f>Levers!E38</f>
        <v>157179.60388641959</v>
      </c>
      <c r="I51" s="694">
        <f>Levers!F38</f>
        <v>159032.43640497583</v>
      </c>
      <c r="J51" s="694">
        <f>Levers!G38</f>
        <v>514150.35120184784</v>
      </c>
      <c r="K51" s="694">
        <f>Levers!H38</f>
        <v>627259.89273383562</v>
      </c>
      <c r="L51" s="694">
        <f>Levers!I38</f>
        <v>611624.13692469383</v>
      </c>
      <c r="R51" s="541"/>
    </row>
    <row r="52" spans="1:18" ht="15.75">
      <c r="A52" s="745">
        <f>ROW()</f>
        <v>52</v>
      </c>
      <c r="B52" s="114" t="s">
        <v>432</v>
      </c>
      <c r="C52" s="687">
        <f>Levers!B39</f>
        <v>1516.1219683204299</v>
      </c>
      <c r="D52" s="687"/>
      <c r="E52" s="687"/>
      <c r="F52" s="695">
        <f>Levers!C39</f>
        <v>0</v>
      </c>
      <c r="G52" s="694">
        <f>Levers!D39</f>
        <v>915.40623236111276</v>
      </c>
      <c r="H52" s="694">
        <f>Levers!E39</f>
        <v>654.915016193415</v>
      </c>
      <c r="I52" s="694">
        <f>Levers!F39</f>
        <v>530.10812134991943</v>
      </c>
      <c r="J52" s="694">
        <f>Levers!G39</f>
        <v>1428.195420005133</v>
      </c>
      <c r="K52" s="694">
        <f>Levers!H39</f>
        <v>1742.388590927321</v>
      </c>
      <c r="L52" s="694">
        <f>Levers!I39</f>
        <v>1698.9559359019272</v>
      </c>
      <c r="R52" s="541"/>
    </row>
    <row r="53" spans="1:18">
      <c r="A53" s="745">
        <f>ROW()</f>
        <v>53</v>
      </c>
      <c r="B53" s="82"/>
      <c r="C53" s="82"/>
      <c r="D53" s="82"/>
      <c r="E53" s="86"/>
      <c r="F53" s="773"/>
      <c r="G53" s="775"/>
      <c r="H53" s="775"/>
      <c r="I53" s="775"/>
      <c r="J53" s="775"/>
      <c r="K53" s="775"/>
      <c r="L53" s="775"/>
      <c r="R53" s="541"/>
    </row>
    <row r="54" spans="1:18">
      <c r="A54" s="745">
        <f>ROW()</f>
        <v>54</v>
      </c>
      <c r="B54" s="282" t="s">
        <v>559</v>
      </c>
      <c r="C54" s="282"/>
      <c r="D54" s="282"/>
      <c r="E54" s="722"/>
      <c r="F54" s="896"/>
      <c r="G54" s="897"/>
      <c r="H54" s="897"/>
      <c r="I54" s="897"/>
      <c r="J54" s="897"/>
      <c r="K54" s="897"/>
      <c r="L54" s="897"/>
      <c r="M54" s="152"/>
      <c r="N54" s="108"/>
      <c r="O54" s="108"/>
      <c r="R54" s="541"/>
    </row>
    <row r="55" spans="1:18">
      <c r="A55" s="745">
        <f>ROW()</f>
        <v>55</v>
      </c>
      <c r="B55" s="106" t="s">
        <v>410</v>
      </c>
      <c r="C55" s="106"/>
      <c r="D55" s="106"/>
      <c r="E55" s="115"/>
      <c r="F55" s="705">
        <f>+Staff!G15</f>
        <v>0</v>
      </c>
      <c r="G55" s="898">
        <f>+Staff!H15</f>
        <v>1</v>
      </c>
      <c r="H55" s="898">
        <f>+Staff!I15</f>
        <v>1</v>
      </c>
      <c r="I55" s="898">
        <f>+Staff!J15</f>
        <v>1</v>
      </c>
      <c r="J55" s="898">
        <f>+Staff!K15</f>
        <v>1</v>
      </c>
      <c r="K55" s="898">
        <f>+Staff!L15</f>
        <v>1</v>
      </c>
      <c r="L55" s="898">
        <f>+Staff!M15</f>
        <v>2</v>
      </c>
      <c r="M55" s="152"/>
      <c r="N55" s="108"/>
      <c r="O55" s="108"/>
      <c r="R55" s="541"/>
    </row>
    <row r="56" spans="1:18">
      <c r="A56" s="745">
        <f>ROW()</f>
        <v>56</v>
      </c>
      <c r="B56" s="106" t="s">
        <v>411</v>
      </c>
      <c r="C56" s="106"/>
      <c r="D56" s="106"/>
      <c r="E56" s="115"/>
      <c r="F56" s="705">
        <f>+Staff!G16</f>
        <v>0</v>
      </c>
      <c r="G56" s="898">
        <f>+Staff!H16</f>
        <v>1</v>
      </c>
      <c r="H56" s="898">
        <f>+Staff!I16</f>
        <v>1</v>
      </c>
      <c r="I56" s="898">
        <f>+Staff!J16</f>
        <v>2</v>
      </c>
      <c r="J56" s="898">
        <f>+Staff!K16</f>
        <v>2</v>
      </c>
      <c r="K56" s="898">
        <f>+Staff!L16</f>
        <v>2</v>
      </c>
      <c r="L56" s="898">
        <f>+Staff!M16</f>
        <v>2</v>
      </c>
      <c r="M56" s="152"/>
      <c r="N56" s="108"/>
      <c r="O56" s="108"/>
      <c r="R56" s="541"/>
    </row>
    <row r="57" spans="1:18">
      <c r="A57" s="745">
        <f>ROW()</f>
        <v>57</v>
      </c>
      <c r="B57" s="106" t="s">
        <v>412</v>
      </c>
      <c r="C57" s="106"/>
      <c r="D57" s="106"/>
      <c r="E57" s="115"/>
      <c r="F57" s="705">
        <f>+Staff!G17</f>
        <v>0</v>
      </c>
      <c r="G57" s="898">
        <f>+Staff!H17</f>
        <v>1</v>
      </c>
      <c r="H57" s="898">
        <f>+Staff!I17</f>
        <v>2</v>
      </c>
      <c r="I57" s="898">
        <f>+Staff!J17</f>
        <v>2</v>
      </c>
      <c r="J57" s="898">
        <f>+Staff!K17</f>
        <v>2</v>
      </c>
      <c r="K57" s="898">
        <f>+Staff!L17</f>
        <v>2</v>
      </c>
      <c r="L57" s="898">
        <f>+Staff!M17</f>
        <v>2</v>
      </c>
      <c r="M57" s="152"/>
      <c r="N57" s="108"/>
      <c r="O57" s="108"/>
      <c r="R57" s="541"/>
    </row>
    <row r="58" spans="1:18">
      <c r="A58" s="745">
        <f>ROW()</f>
        <v>58</v>
      </c>
      <c r="B58" s="106" t="s">
        <v>413</v>
      </c>
      <c r="C58" s="106"/>
      <c r="D58" s="106"/>
      <c r="E58" s="115"/>
      <c r="F58" s="705">
        <f>+Staff!G18</f>
        <v>0</v>
      </c>
      <c r="G58" s="898">
        <f>+Staff!H18</f>
        <v>2</v>
      </c>
      <c r="H58" s="898">
        <f>+Staff!I18</f>
        <v>2</v>
      </c>
      <c r="I58" s="898">
        <f>+Staff!J18</f>
        <v>3</v>
      </c>
      <c r="J58" s="898">
        <f>+Staff!K18</f>
        <v>4</v>
      </c>
      <c r="K58" s="898">
        <f>+Staff!L18</f>
        <v>4</v>
      </c>
      <c r="L58" s="898">
        <f>+Staff!M18</f>
        <v>4</v>
      </c>
      <c r="M58" s="152"/>
      <c r="N58" s="108"/>
      <c r="O58" s="108"/>
      <c r="R58" s="541"/>
    </row>
    <row r="59" spans="1:18">
      <c r="A59" s="745">
        <f>ROW()</f>
        <v>59</v>
      </c>
      <c r="B59" s="106" t="s">
        <v>414</v>
      </c>
      <c r="C59" s="106"/>
      <c r="D59" s="106"/>
      <c r="E59" s="115"/>
      <c r="F59" s="705">
        <f>+Staff!G19</f>
        <v>0</v>
      </c>
      <c r="G59" s="898">
        <f>+Staff!H19</f>
        <v>2</v>
      </c>
      <c r="H59" s="898">
        <f>+Staff!I19</f>
        <v>2</v>
      </c>
      <c r="I59" s="898">
        <f>+Staff!J19</f>
        <v>3</v>
      </c>
      <c r="J59" s="898">
        <f>+Staff!K19</f>
        <v>3</v>
      </c>
      <c r="K59" s="898">
        <f>+Staff!L19</f>
        <v>3</v>
      </c>
      <c r="L59" s="898">
        <f>+Staff!M19</f>
        <v>3</v>
      </c>
      <c r="M59" s="152"/>
      <c r="N59" s="108"/>
      <c r="O59" s="108"/>
      <c r="R59" s="541"/>
    </row>
    <row r="60" spans="1:18">
      <c r="A60" s="745">
        <f>ROW()</f>
        <v>60</v>
      </c>
      <c r="B60" s="106" t="s">
        <v>415</v>
      </c>
      <c r="C60" s="106"/>
      <c r="D60" s="106"/>
      <c r="E60" s="722"/>
      <c r="F60" s="705">
        <f>+Staff!G20</f>
        <v>0</v>
      </c>
      <c r="G60" s="898">
        <f>+Staff!H20</f>
        <v>12</v>
      </c>
      <c r="H60" s="898">
        <f>+Staff!I20</f>
        <v>15</v>
      </c>
      <c r="I60" s="898">
        <f>+Staff!J20</f>
        <v>19</v>
      </c>
      <c r="J60" s="898">
        <f>+Staff!K20</f>
        <v>22</v>
      </c>
      <c r="K60" s="898">
        <f>+Staff!L20</f>
        <v>22</v>
      </c>
      <c r="L60" s="898">
        <f>+Staff!M20</f>
        <v>22</v>
      </c>
      <c r="M60" s="152"/>
      <c r="N60" s="108"/>
      <c r="O60" s="108"/>
      <c r="R60" s="541"/>
    </row>
    <row r="61" spans="1:18">
      <c r="A61" s="745">
        <f>ROW()</f>
        <v>61</v>
      </c>
      <c r="B61" s="210" t="s">
        <v>416</v>
      </c>
      <c r="C61" s="210"/>
      <c r="D61" s="210"/>
      <c r="E61" s="115"/>
      <c r="F61" s="899">
        <f>SUM(F55:F60)</f>
        <v>0</v>
      </c>
      <c r="G61" s="899">
        <f t="shared" ref="G61:L61" si="10">SUM(G55:G60)</f>
        <v>19</v>
      </c>
      <c r="H61" s="899">
        <f t="shared" si="10"/>
        <v>23</v>
      </c>
      <c r="I61" s="899">
        <f t="shared" si="10"/>
        <v>30</v>
      </c>
      <c r="J61" s="899">
        <f t="shared" si="10"/>
        <v>34</v>
      </c>
      <c r="K61" s="899">
        <f t="shared" si="10"/>
        <v>34</v>
      </c>
      <c r="L61" s="899">
        <f t="shared" si="10"/>
        <v>35</v>
      </c>
      <c r="M61" s="152"/>
      <c r="N61" s="108"/>
      <c r="O61" s="108"/>
      <c r="R61" s="541"/>
    </row>
    <row r="62" spans="1:18">
      <c r="A62" s="745">
        <f>ROW()</f>
        <v>62</v>
      </c>
      <c r="D62" s="84"/>
      <c r="E62" s="84"/>
      <c r="M62" s="152"/>
      <c r="N62" s="108"/>
      <c r="O62" s="108"/>
      <c r="P62" s="154"/>
      <c r="Q62" s="154"/>
      <c r="R62" s="541"/>
    </row>
    <row r="63" spans="1:18">
      <c r="A63" s="745">
        <f>ROW()</f>
        <v>63</v>
      </c>
      <c r="B63" s="78" t="s">
        <v>560</v>
      </c>
      <c r="C63" s="689"/>
      <c r="D63" s="78"/>
      <c r="E63" s="78"/>
      <c r="F63" s="690"/>
      <c r="G63" s="690"/>
      <c r="H63" s="690"/>
      <c r="I63" s="690"/>
      <c r="J63" s="690"/>
      <c r="K63" s="690"/>
      <c r="L63" s="690"/>
      <c r="M63" s="42"/>
      <c r="R63" s="541"/>
    </row>
    <row r="64" spans="1:18">
      <c r="A64" s="745">
        <f>ROW()</f>
        <v>64</v>
      </c>
      <c r="B64" s="86" t="s">
        <v>561</v>
      </c>
      <c r="C64" s="224" t="s">
        <v>562</v>
      </c>
      <c r="D64" s="77"/>
      <c r="E64" s="77"/>
      <c r="F64" s="42"/>
      <c r="G64" s="39" t="s">
        <v>563</v>
      </c>
      <c r="H64" s="42"/>
      <c r="I64" s="42"/>
      <c r="J64" s="42"/>
      <c r="K64" s="42"/>
      <c r="L64" s="42"/>
      <c r="M64" s="42"/>
      <c r="R64" s="541"/>
    </row>
    <row r="65" spans="1:18">
      <c r="A65" s="745">
        <f>ROW()</f>
        <v>65</v>
      </c>
      <c r="B65" s="114" t="s">
        <v>564</v>
      </c>
      <c r="C65" s="1239">
        <v>272563</v>
      </c>
      <c r="D65" s="177" t="s">
        <v>565</v>
      </c>
      <c r="E65" s="177"/>
      <c r="F65" s="491"/>
      <c r="G65" s="1227">
        <v>67088</v>
      </c>
      <c r="H65" s="1227">
        <v>87935</v>
      </c>
      <c r="I65" s="1227">
        <v>117540</v>
      </c>
      <c r="J65" s="1227"/>
      <c r="K65" s="1227"/>
      <c r="L65" s="1227"/>
      <c r="M65" s="42"/>
      <c r="R65" s="541" t="s">
        <v>1328</v>
      </c>
    </row>
    <row r="66" spans="1:18">
      <c r="A66" s="745">
        <f>ROW()</f>
        <v>66</v>
      </c>
      <c r="B66" s="114" t="s">
        <v>566</v>
      </c>
      <c r="C66" s="1239">
        <v>2000</v>
      </c>
      <c r="D66" s="177" t="s">
        <v>567</v>
      </c>
      <c r="E66" s="177"/>
      <c r="F66" s="72"/>
      <c r="G66" s="1064">
        <f t="shared" ref="G66:I66" si="11">$C66</f>
        <v>2000</v>
      </c>
      <c r="H66" s="1064">
        <f t="shared" si="11"/>
        <v>2000</v>
      </c>
      <c r="I66" s="1064">
        <f t="shared" si="11"/>
        <v>2000</v>
      </c>
      <c r="J66" s="1064">
        <v>1000</v>
      </c>
      <c r="K66" s="1064">
        <v>1000</v>
      </c>
      <c r="L66" s="1064">
        <v>1000</v>
      </c>
      <c r="M66" s="42"/>
      <c r="R66" s="541" t="s">
        <v>1303</v>
      </c>
    </row>
    <row r="67" spans="1:18">
      <c r="A67" s="745">
        <f>ROW()</f>
        <v>67</v>
      </c>
      <c r="B67" s="114" t="s">
        <v>568</v>
      </c>
      <c r="C67" s="1239">
        <v>0</v>
      </c>
      <c r="D67" s="177" t="s">
        <v>569</v>
      </c>
      <c r="E67" s="177"/>
      <c r="F67" s="72"/>
      <c r="G67" s="1064">
        <f t="shared" ref="G67:L67" si="12">$C$67</f>
        <v>0</v>
      </c>
      <c r="H67" s="1064">
        <f t="shared" si="12"/>
        <v>0</v>
      </c>
      <c r="I67" s="1064">
        <f t="shared" si="12"/>
        <v>0</v>
      </c>
      <c r="J67" s="1064">
        <f t="shared" si="12"/>
        <v>0</v>
      </c>
      <c r="K67" s="1064">
        <f t="shared" si="12"/>
        <v>0</v>
      </c>
      <c r="L67" s="1064">
        <f t="shared" si="12"/>
        <v>0</v>
      </c>
      <c r="M67" s="42"/>
      <c r="R67" s="541"/>
    </row>
    <row r="68" spans="1:18">
      <c r="A68" s="745">
        <f>ROW()</f>
        <v>68</v>
      </c>
      <c r="B68" s="114" t="s">
        <v>570</v>
      </c>
      <c r="C68" s="757"/>
      <c r="D68" s="177"/>
      <c r="E68" s="177"/>
      <c r="F68" s="72"/>
      <c r="G68" s="952"/>
      <c r="H68" s="952"/>
      <c r="I68" s="952"/>
      <c r="J68" s="952"/>
      <c r="K68" s="952"/>
      <c r="L68" s="952"/>
      <c r="M68" s="42"/>
      <c r="R68" s="541"/>
    </row>
    <row r="69" spans="1:18">
      <c r="A69" s="745">
        <f>ROW()</f>
        <v>69</v>
      </c>
      <c r="B69" s="114" t="s">
        <v>571</v>
      </c>
      <c r="C69" s="1239">
        <v>0</v>
      </c>
      <c r="D69" s="177" t="s">
        <v>301</v>
      </c>
      <c r="E69" s="177"/>
      <c r="F69" s="72"/>
      <c r="G69" s="1064">
        <f>$C$69*(' Enrol &amp; Rev'!H34-' Enrol &amp; Rev'!G34)</f>
        <v>0</v>
      </c>
      <c r="H69" s="1064">
        <f>$C$69*(' Enrol &amp; Rev'!I34-' Enrol &amp; Rev'!H34)</f>
        <v>0</v>
      </c>
      <c r="I69" s="1064">
        <f>$C$69*(' Enrol &amp; Rev'!J34-' Enrol &amp; Rev'!I34)</f>
        <v>0</v>
      </c>
      <c r="J69" s="1064">
        <f>$C$69*(' Enrol &amp; Rev'!K34-' Enrol &amp; Rev'!J34)</f>
        <v>0</v>
      </c>
      <c r="K69" s="1064">
        <f>$C$69*(' Enrol &amp; Rev'!L34-' Enrol &amp; Rev'!K34)</f>
        <v>0</v>
      </c>
      <c r="L69" s="1064">
        <f>$C$69*(' Enrol &amp; Rev'!M34-' Enrol &amp; Rev'!L34)</f>
        <v>0</v>
      </c>
      <c r="M69" s="42"/>
      <c r="R69" s="541" t="s">
        <v>1272</v>
      </c>
    </row>
    <row r="70" spans="1:18">
      <c r="A70" s="745">
        <f>ROW()</f>
        <v>70</v>
      </c>
      <c r="B70" s="114" t="s">
        <v>572</v>
      </c>
      <c r="C70" s="1239">
        <v>0</v>
      </c>
      <c r="D70" s="177" t="s">
        <v>573</v>
      </c>
      <c r="E70" s="177"/>
      <c r="F70" s="72"/>
      <c r="G70" s="1064"/>
      <c r="H70" s="1064"/>
      <c r="I70" s="1064"/>
      <c r="J70" s="1064"/>
      <c r="K70" s="1064"/>
      <c r="L70" s="1064"/>
      <c r="M70" s="42"/>
      <c r="R70" s="541"/>
    </row>
    <row r="71" spans="1:18">
      <c r="A71" s="745">
        <f>ROW()</f>
        <v>71</v>
      </c>
      <c r="B71" s="114" t="s">
        <v>574</v>
      </c>
      <c r="C71" s="1239">
        <v>20</v>
      </c>
      <c r="D71" s="177" t="s">
        <v>575</v>
      </c>
      <c r="E71" s="177"/>
      <c r="F71" s="72"/>
      <c r="G71" s="1064">
        <f>$C$71*' Enrol &amp; Rev'!H34</f>
        <v>3600</v>
      </c>
      <c r="H71" s="1064">
        <f>$C$71*' Enrol &amp; Rev'!I34</f>
        <v>4800</v>
      </c>
      <c r="I71" s="1064">
        <f>$C$71*' Enrol &amp; Rev'!J34</f>
        <v>6000</v>
      </c>
      <c r="J71" s="1064">
        <f>$C$71*' Enrol &amp; Rev'!K34</f>
        <v>7200</v>
      </c>
      <c r="K71" s="1064">
        <f>$C$71*' Enrol &amp; Rev'!L34</f>
        <v>7200</v>
      </c>
      <c r="L71" s="1064">
        <f>$C$71*' Enrol &amp; Rev'!M34</f>
        <v>7200</v>
      </c>
      <c r="M71" s="42"/>
      <c r="R71" s="541"/>
    </row>
    <row r="72" spans="1:18">
      <c r="A72" s="745">
        <f>ROW()</f>
        <v>72</v>
      </c>
      <c r="B72" s="114" t="s">
        <v>576</v>
      </c>
      <c r="C72" s="392">
        <v>7</v>
      </c>
      <c r="D72" s="177" t="s">
        <v>301</v>
      </c>
      <c r="E72" s="177"/>
      <c r="F72" s="72"/>
      <c r="G72" s="1064">
        <f>$C$72*' Enrol &amp; Rev'!H34</f>
        <v>1260</v>
      </c>
      <c r="H72" s="1064">
        <f>$C$72*' Enrol &amp; Rev'!I34</f>
        <v>1680</v>
      </c>
      <c r="I72" s="1064">
        <f>$C$72*' Enrol &amp; Rev'!J34</f>
        <v>2100</v>
      </c>
      <c r="J72" s="1064">
        <f>$C$72*' Enrol &amp; Rev'!K34</f>
        <v>2520</v>
      </c>
      <c r="K72" s="1064">
        <f>$C$72*' Enrol &amp; Rev'!L34</f>
        <v>2520</v>
      </c>
      <c r="L72" s="1064">
        <f>$C$72*' Enrol &amp; Rev'!M34</f>
        <v>2520</v>
      </c>
      <c r="M72" s="42"/>
      <c r="R72" s="541"/>
    </row>
    <row r="73" spans="1:18">
      <c r="A73" s="745">
        <f>ROW()</f>
        <v>73</v>
      </c>
      <c r="B73" s="114" t="s">
        <v>577</v>
      </c>
      <c r="C73" s="392">
        <v>0</v>
      </c>
      <c r="D73" s="177" t="s">
        <v>578</v>
      </c>
      <c r="E73" s="177"/>
      <c r="F73" s="72"/>
      <c r="G73" s="1446">
        <f>$C$73*' Enrol &amp; Rev'!H34</f>
        <v>0</v>
      </c>
      <c r="H73" s="1446">
        <f>$C$73*' Enrol &amp; Rev'!I34</f>
        <v>0</v>
      </c>
      <c r="I73" s="1446">
        <f>$C$73*' Enrol &amp; Rev'!J34</f>
        <v>0</v>
      </c>
      <c r="J73" s="1446">
        <f>$C$73*' Enrol &amp; Rev'!K34</f>
        <v>0</v>
      </c>
      <c r="K73" s="1446">
        <f>$C$73*' Enrol &amp; Rev'!L34</f>
        <v>0</v>
      </c>
      <c r="L73" s="1446">
        <f>$C$73*' Enrol &amp; Rev'!M34</f>
        <v>0</v>
      </c>
      <c r="M73" s="42"/>
      <c r="R73" s="541"/>
    </row>
    <row r="74" spans="1:18">
      <c r="A74" s="745">
        <f>ROW()</f>
        <v>74</v>
      </c>
      <c r="B74" s="114" t="s">
        <v>579</v>
      </c>
      <c r="C74" s="1239">
        <v>24534</v>
      </c>
      <c r="D74" s="177" t="s">
        <v>1232</v>
      </c>
      <c r="E74" s="177"/>
      <c r="F74" s="72"/>
      <c r="G74" s="1064">
        <v>6736</v>
      </c>
      <c r="H74" s="1064">
        <v>1000</v>
      </c>
      <c r="I74" s="1064">
        <v>6939</v>
      </c>
      <c r="J74" s="1064">
        <v>1360</v>
      </c>
      <c r="K74" s="1064">
        <v>7099</v>
      </c>
      <c r="L74" s="1064">
        <v>1400</v>
      </c>
      <c r="M74" s="42"/>
      <c r="R74" s="541" t="s">
        <v>1327</v>
      </c>
    </row>
    <row r="75" spans="1:18">
      <c r="A75" s="745">
        <f>ROW()</f>
        <v>75</v>
      </c>
      <c r="B75" s="114" t="s">
        <v>580</v>
      </c>
      <c r="C75" s="1239">
        <v>0</v>
      </c>
      <c r="D75" s="177" t="s">
        <v>1232</v>
      </c>
      <c r="E75" s="177"/>
      <c r="F75" s="72"/>
      <c r="G75" s="1064">
        <f>(' Enrol &amp; Rev'!H86+' Enrol &amp; Rev'!H101)*$C$75</f>
        <v>0</v>
      </c>
      <c r="H75" s="1064">
        <f>(' Enrol &amp; Rev'!I86+' Enrol &amp; Rev'!I101)*$C$75</f>
        <v>0</v>
      </c>
      <c r="I75" s="1064">
        <f>(' Enrol &amp; Rev'!J86+' Enrol &amp; Rev'!J101)*$C$75</f>
        <v>0</v>
      </c>
      <c r="J75" s="1064">
        <f>(' Enrol &amp; Rev'!K86+' Enrol &amp; Rev'!K101)*$C$75</f>
        <v>0</v>
      </c>
      <c r="K75" s="1064">
        <f>(' Enrol &amp; Rev'!L86+' Enrol &amp; Rev'!L101)*$C$75</f>
        <v>0</v>
      </c>
      <c r="L75" s="1064">
        <f>(' Enrol &amp; Rev'!M86+' Enrol &amp; Rev'!M101)*$C$75</f>
        <v>0</v>
      </c>
      <c r="M75" s="42"/>
      <c r="R75" s="541"/>
    </row>
    <row r="76" spans="1:18">
      <c r="A76" s="745">
        <f>ROW()</f>
        <v>76</v>
      </c>
      <c r="B76" s="114" t="s">
        <v>581</v>
      </c>
      <c r="C76" s="1239">
        <v>20</v>
      </c>
      <c r="D76" s="177" t="s">
        <v>301</v>
      </c>
      <c r="E76" s="177"/>
      <c r="F76" s="72"/>
      <c r="G76" s="1062">
        <f>$C$76*' Enrol &amp; Rev'!H34</f>
        <v>3600</v>
      </c>
      <c r="H76" s="1062">
        <f>$C$76*' Enrol &amp; Rev'!I34</f>
        <v>4800</v>
      </c>
      <c r="I76" s="1062">
        <f>$C$76*' Enrol &amp; Rev'!J34</f>
        <v>6000</v>
      </c>
      <c r="J76" s="1062">
        <f>$C$76*' Enrol &amp; Rev'!K34</f>
        <v>7200</v>
      </c>
      <c r="K76" s="1062">
        <f>$C$76*' Enrol &amp; Rev'!L34</f>
        <v>7200</v>
      </c>
      <c r="L76" s="1062">
        <f>$C$76*' Enrol &amp; Rev'!M34</f>
        <v>7200</v>
      </c>
      <c r="M76" s="42"/>
      <c r="R76" s="541"/>
    </row>
    <row r="77" spans="1:18">
      <c r="A77" s="745">
        <f>ROW()</f>
        <v>77</v>
      </c>
      <c r="B77" s="114" t="s">
        <v>582</v>
      </c>
      <c r="C77" s="1239">
        <v>10</v>
      </c>
      <c r="D77" s="177" t="s">
        <v>301</v>
      </c>
      <c r="E77" s="177"/>
      <c r="F77" s="72"/>
      <c r="G77" s="1062">
        <f>$C$77*' Enrol &amp; Rev'!H34</f>
        <v>1800</v>
      </c>
      <c r="H77" s="1062">
        <f>$C$77*' Enrol &amp; Rev'!I34</f>
        <v>2400</v>
      </c>
      <c r="I77" s="1062">
        <f>$C$77*' Enrol &amp; Rev'!J34</f>
        <v>3000</v>
      </c>
      <c r="J77" s="1062">
        <f>$C$77*' Enrol &amp; Rev'!K34</f>
        <v>3600</v>
      </c>
      <c r="K77" s="1062">
        <f>$C$77*' Enrol &amp; Rev'!L34</f>
        <v>3600</v>
      </c>
      <c r="L77" s="1062">
        <f>$C$77*' Enrol &amp; Rev'!M34</f>
        <v>3600</v>
      </c>
      <c r="M77" s="42"/>
      <c r="R77" s="541" t="s">
        <v>1266</v>
      </c>
    </row>
    <row r="78" spans="1:18">
      <c r="A78" s="745">
        <f>ROW()</f>
        <v>78</v>
      </c>
      <c r="B78" s="114" t="s">
        <v>583</v>
      </c>
      <c r="C78" s="1239">
        <v>20</v>
      </c>
      <c r="D78" s="177" t="s">
        <v>301</v>
      </c>
      <c r="E78" s="177"/>
      <c r="F78" s="72"/>
      <c r="G78" s="1062">
        <f>$C$78*' Enrol &amp; Rev'!H34</f>
        <v>3600</v>
      </c>
      <c r="H78" s="1062">
        <f>$C$78*' Enrol &amp; Rev'!I34</f>
        <v>4800</v>
      </c>
      <c r="I78" s="1062">
        <f>$C$78*' Enrol &amp; Rev'!J34</f>
        <v>6000</v>
      </c>
      <c r="J78" s="1062">
        <f>$C$78*' Enrol &amp; Rev'!K34</f>
        <v>7200</v>
      </c>
      <c r="K78" s="1062">
        <f>$C$78*' Enrol &amp; Rev'!L34</f>
        <v>7200</v>
      </c>
      <c r="L78" s="1062">
        <f>$C$78*' Enrol &amp; Rev'!M34</f>
        <v>7200</v>
      </c>
      <c r="M78" s="42"/>
      <c r="R78" s="541"/>
    </row>
    <row r="79" spans="1:18">
      <c r="A79" s="745">
        <f>ROW()</f>
        <v>79</v>
      </c>
      <c r="B79" s="114" t="s">
        <v>584</v>
      </c>
      <c r="C79" s="1239">
        <v>0</v>
      </c>
      <c r="D79" s="177" t="s">
        <v>301</v>
      </c>
      <c r="E79" s="177"/>
      <c r="F79" s="72"/>
      <c r="G79" s="1062">
        <f>$C$79*' Enrol &amp; Rev'!H34</f>
        <v>0</v>
      </c>
      <c r="H79" s="1062">
        <f>$C$79*' Enrol &amp; Rev'!I34</f>
        <v>0</v>
      </c>
      <c r="I79" s="1062">
        <f>$C$79*' Enrol &amp; Rev'!J34</f>
        <v>0</v>
      </c>
      <c r="J79" s="1062">
        <f>$C$79*' Enrol &amp; Rev'!K34</f>
        <v>0</v>
      </c>
      <c r="K79" s="1062">
        <f>$C$79*' Enrol &amp; Rev'!L34</f>
        <v>0</v>
      </c>
      <c r="L79" s="1062">
        <f>$C$79*' Enrol &amp; Rev'!M34</f>
        <v>0</v>
      </c>
      <c r="M79" s="42"/>
      <c r="R79" s="541"/>
    </row>
    <row r="80" spans="1:18">
      <c r="A80" s="745">
        <f>ROW()</f>
        <v>80</v>
      </c>
      <c r="B80" s="114" t="s">
        <v>585</v>
      </c>
      <c r="C80" s="1239">
        <v>0</v>
      </c>
      <c r="D80" s="177" t="s">
        <v>301</v>
      </c>
      <c r="E80" s="177"/>
      <c r="F80" s="72"/>
      <c r="G80" s="1062">
        <f>$C$80*' Enrol &amp; Rev'!H34</f>
        <v>0</v>
      </c>
      <c r="H80" s="1062">
        <f>$C$80*' Enrol &amp; Rev'!I34</f>
        <v>0</v>
      </c>
      <c r="I80" s="1062">
        <f>$C$80*' Enrol &amp; Rev'!J34</f>
        <v>0</v>
      </c>
      <c r="J80" s="1062">
        <f>$C$80*' Enrol &amp; Rev'!K34</f>
        <v>0</v>
      </c>
      <c r="K80" s="1062">
        <f>$C$80*' Enrol &amp; Rev'!L34</f>
        <v>0</v>
      </c>
      <c r="L80" s="1062">
        <f>$C$80*' Enrol &amp; Rev'!M34</f>
        <v>0</v>
      </c>
      <c r="M80" s="42"/>
      <c r="R80" s="541"/>
    </row>
    <row r="81" spans="1:18">
      <c r="A81" s="745">
        <f>ROW()</f>
        <v>81</v>
      </c>
      <c r="B81" s="114" t="s">
        <v>586</v>
      </c>
      <c r="C81" s="1239">
        <v>0</v>
      </c>
      <c r="D81" s="177" t="s">
        <v>294</v>
      </c>
      <c r="E81" s="177"/>
      <c r="F81" s="72"/>
      <c r="G81" s="1062">
        <f>$C$81*' Enrol &amp; Rev'!H34*' Enrol &amp; Rev'!H63</f>
        <v>0</v>
      </c>
      <c r="H81" s="1062">
        <f>$C$81*' Enrol &amp; Rev'!I34*' Enrol &amp; Rev'!I63</f>
        <v>0</v>
      </c>
      <c r="I81" s="1062">
        <f>$C$81*' Enrol &amp; Rev'!J34*' Enrol &amp; Rev'!J63</f>
        <v>0</v>
      </c>
      <c r="J81" s="1062">
        <f>$C$81*' Enrol &amp; Rev'!K34*' Enrol &amp; Rev'!K63</f>
        <v>0</v>
      </c>
      <c r="K81" s="1062">
        <f>$C$81*' Enrol &amp; Rev'!L34*' Enrol &amp; Rev'!L63</f>
        <v>0</v>
      </c>
      <c r="L81" s="1062">
        <f>$C$81*' Enrol &amp; Rev'!M34*' Enrol &amp; Rev'!M63</f>
        <v>0</v>
      </c>
      <c r="M81" s="42"/>
      <c r="R81" s="541"/>
    </row>
    <row r="82" spans="1:18">
      <c r="A82" s="745">
        <f>ROW()</f>
        <v>82</v>
      </c>
      <c r="B82" s="114" t="s">
        <v>587</v>
      </c>
      <c r="C82" s="1239">
        <v>1000</v>
      </c>
      <c r="D82" s="177" t="s">
        <v>588</v>
      </c>
      <c r="E82" s="177"/>
      <c r="F82" s="72"/>
      <c r="G82" s="1062">
        <f>$C$82*(Staff!G17+Staff!G18+Staff!G20)</f>
        <v>0</v>
      </c>
      <c r="H82" s="1062">
        <f>$C$82*(Staff!H17+Staff!H18+Staff!H20)</f>
        <v>15000</v>
      </c>
      <c r="I82" s="1062">
        <f>$C$82*(Staff!I17+Staff!I18+Staff!I20)</f>
        <v>19000</v>
      </c>
      <c r="J82" s="1062">
        <f>$C$82*(Staff!J17+Staff!J18+Staff!J20)</f>
        <v>24000</v>
      </c>
      <c r="K82" s="1062">
        <f>$C$82*(Staff!K17+Staff!K18+Staff!K20)</f>
        <v>28000</v>
      </c>
      <c r="L82" s="1062">
        <f>$C$82*(Staff!L17+Staff!L18+Staff!L20)</f>
        <v>28000</v>
      </c>
      <c r="M82" s="42"/>
      <c r="R82" s="541"/>
    </row>
    <row r="83" spans="1:18">
      <c r="A83" s="745">
        <f>ROW()</f>
        <v>83</v>
      </c>
      <c r="B83" s="114" t="s">
        <v>589</v>
      </c>
      <c r="C83" s="1239"/>
      <c r="D83" s="177" t="s">
        <v>590</v>
      </c>
      <c r="E83" s="177"/>
      <c r="F83" s="72"/>
      <c r="G83" s="1062">
        <f t="shared" ref="G83:L83" si="13">$C$83*12</f>
        <v>0</v>
      </c>
      <c r="H83" s="1062">
        <f t="shared" si="13"/>
        <v>0</v>
      </c>
      <c r="I83" s="1062">
        <f t="shared" si="13"/>
        <v>0</v>
      </c>
      <c r="J83" s="1062">
        <f t="shared" si="13"/>
        <v>0</v>
      </c>
      <c r="K83" s="1062">
        <f t="shared" si="13"/>
        <v>0</v>
      </c>
      <c r="L83" s="1062">
        <f t="shared" si="13"/>
        <v>0</v>
      </c>
      <c r="M83" s="42"/>
      <c r="R83" s="541" t="s">
        <v>1271</v>
      </c>
    </row>
    <row r="84" spans="1:18">
      <c r="A84" s="745">
        <f>ROW()</f>
        <v>84</v>
      </c>
      <c r="B84" s="114" t="s">
        <v>591</v>
      </c>
      <c r="C84" s="1239">
        <v>30</v>
      </c>
      <c r="D84" s="177" t="s">
        <v>592</v>
      </c>
      <c r="E84" s="177"/>
      <c r="F84" s="72"/>
      <c r="G84" s="1062">
        <f>$C$84*(' Enrol &amp; Rev'!H34-' Enrol &amp; Rev'!G34)</f>
        <v>5400</v>
      </c>
      <c r="H84" s="1062">
        <f>$C$84*(' Enrol &amp; Rev'!I34-' Enrol &amp; Rev'!H34)</f>
        <v>1800</v>
      </c>
      <c r="I84" s="1062">
        <f>$C$84*(' Enrol &amp; Rev'!J34-' Enrol &amp; Rev'!I34)</f>
        <v>1800</v>
      </c>
      <c r="J84" s="1062">
        <f>$C$84*(' Enrol &amp; Rev'!K34-' Enrol &amp; Rev'!J34)</f>
        <v>1800</v>
      </c>
      <c r="K84" s="1062">
        <f>$C$84*(' Enrol &amp; Rev'!L34-' Enrol &amp; Rev'!K34)</f>
        <v>0</v>
      </c>
      <c r="L84" s="1062">
        <f>$C$84*(' Enrol &amp; Rev'!M34-' Enrol &amp; Rev'!L34)</f>
        <v>0</v>
      </c>
      <c r="M84" s="42"/>
      <c r="R84" s="541"/>
    </row>
    <row r="85" spans="1:18">
      <c r="A85" s="745">
        <f>ROW()</f>
        <v>85</v>
      </c>
      <c r="B85" s="114" t="s">
        <v>593</v>
      </c>
      <c r="C85" s="1239">
        <v>15</v>
      </c>
      <c r="D85" s="177" t="s">
        <v>594</v>
      </c>
      <c r="E85" s="177"/>
      <c r="F85" s="72"/>
      <c r="G85" s="1062">
        <v>0</v>
      </c>
      <c r="H85" s="1062">
        <v>0</v>
      </c>
      <c r="I85" s="1062">
        <v>0</v>
      </c>
      <c r="J85" s="1062">
        <v>0</v>
      </c>
      <c r="K85" s="1062">
        <v>0</v>
      </c>
      <c r="L85" s="1062">
        <v>0</v>
      </c>
      <c r="M85" s="42"/>
      <c r="R85" s="541"/>
    </row>
    <row r="86" spans="1:18">
      <c r="A86" s="745">
        <f>ROW()</f>
        <v>86</v>
      </c>
      <c r="B86" s="114" t="s">
        <v>595</v>
      </c>
      <c r="C86" s="1239">
        <v>1000</v>
      </c>
      <c r="D86" s="177" t="s">
        <v>596</v>
      </c>
      <c r="E86" s="177"/>
      <c r="F86" s="72"/>
      <c r="G86" s="1062">
        <f t="shared" ref="G86:L86" si="14">$C$86</f>
        <v>1000</v>
      </c>
      <c r="H86" s="1062">
        <f t="shared" si="14"/>
        <v>1000</v>
      </c>
      <c r="I86" s="1062">
        <f t="shared" si="14"/>
        <v>1000</v>
      </c>
      <c r="J86" s="1062">
        <f t="shared" si="14"/>
        <v>1000</v>
      </c>
      <c r="K86" s="1062">
        <f t="shared" si="14"/>
        <v>1000</v>
      </c>
      <c r="L86" s="1062">
        <f t="shared" si="14"/>
        <v>1000</v>
      </c>
      <c r="M86" s="42"/>
      <c r="R86" s="541"/>
    </row>
    <row r="87" spans="1:18">
      <c r="A87" s="745">
        <f>ROW()</f>
        <v>87</v>
      </c>
      <c r="B87" s="114" t="s">
        <v>597</v>
      </c>
      <c r="C87" s="1239">
        <v>20</v>
      </c>
      <c r="D87" s="177" t="s">
        <v>598</v>
      </c>
      <c r="E87" s="177"/>
      <c r="F87" s="72"/>
      <c r="G87" s="1062">
        <f>$C$87*' Enrol &amp; Rev'!H34</f>
        <v>3600</v>
      </c>
      <c r="H87" s="1062">
        <f>$C$87*' Enrol &amp; Rev'!I34</f>
        <v>4800</v>
      </c>
      <c r="I87" s="1062">
        <f>$C$87*' Enrol &amp; Rev'!J34</f>
        <v>6000</v>
      </c>
      <c r="J87" s="1062">
        <f>$C$87*' Enrol &amp; Rev'!K34</f>
        <v>7200</v>
      </c>
      <c r="K87" s="1062">
        <f>$C$87*' Enrol &amp; Rev'!L34</f>
        <v>7200</v>
      </c>
      <c r="L87" s="1062">
        <f>$C$87*' Enrol &amp; Rev'!M34</f>
        <v>7200</v>
      </c>
      <c r="M87" s="42"/>
      <c r="R87" s="541"/>
    </row>
    <row r="88" spans="1:18">
      <c r="A88" s="745">
        <f>ROW()</f>
        <v>88</v>
      </c>
      <c r="B88" s="114" t="s">
        <v>599</v>
      </c>
      <c r="C88" s="1239">
        <v>0</v>
      </c>
      <c r="D88" s="177" t="s">
        <v>596</v>
      </c>
      <c r="E88" s="177"/>
      <c r="F88" s="72"/>
      <c r="G88" s="1062">
        <f t="shared" ref="G88:L88" si="15">$C$88</f>
        <v>0</v>
      </c>
      <c r="H88" s="1062">
        <f t="shared" si="15"/>
        <v>0</v>
      </c>
      <c r="I88" s="1062">
        <f t="shared" si="15"/>
        <v>0</v>
      </c>
      <c r="J88" s="1062">
        <f t="shared" si="15"/>
        <v>0</v>
      </c>
      <c r="K88" s="1062">
        <f t="shared" si="15"/>
        <v>0</v>
      </c>
      <c r="L88" s="1062">
        <f t="shared" si="15"/>
        <v>0</v>
      </c>
      <c r="M88" s="42"/>
      <c r="R88" s="541"/>
    </row>
    <row r="89" spans="1:18">
      <c r="A89" s="745">
        <f>ROW()</f>
        <v>89</v>
      </c>
      <c r="B89" s="114" t="s">
        <v>600</v>
      </c>
      <c r="C89" s="1239">
        <v>10</v>
      </c>
      <c r="D89" s="177" t="s">
        <v>578</v>
      </c>
      <c r="E89" s="177"/>
      <c r="F89" s="72"/>
      <c r="G89" s="1062">
        <f>+G159</f>
        <v>0</v>
      </c>
      <c r="H89" s="1062">
        <f t="shared" ref="H89:L89" si="16">+H159</f>
        <v>0</v>
      </c>
      <c r="I89" s="1062">
        <f t="shared" si="16"/>
        <v>0</v>
      </c>
      <c r="J89" s="1062">
        <f t="shared" si="16"/>
        <v>0</v>
      </c>
      <c r="K89" s="1062">
        <f t="shared" si="16"/>
        <v>0</v>
      </c>
      <c r="L89" s="1062">
        <f t="shared" si="16"/>
        <v>0</v>
      </c>
      <c r="M89" s="42"/>
      <c r="R89" s="541" t="s">
        <v>1321</v>
      </c>
    </row>
    <row r="90" spans="1:18">
      <c r="A90" s="745">
        <f>ROW()</f>
        <v>90</v>
      </c>
      <c r="B90" s="114" t="s">
        <v>601</v>
      </c>
      <c r="C90" s="1239"/>
      <c r="D90" s="177" t="s">
        <v>301</v>
      </c>
      <c r="E90" s="177"/>
      <c r="F90" s="72"/>
      <c r="G90" s="1062">
        <f>$C$90*' Enrol &amp; Rev'!H34</f>
        <v>0</v>
      </c>
      <c r="H90" s="1062">
        <f>$C$90*' Enrol &amp; Rev'!I34</f>
        <v>0</v>
      </c>
      <c r="I90" s="1062">
        <f>$C$90*' Enrol &amp; Rev'!J34</f>
        <v>0</v>
      </c>
      <c r="J90" s="1062">
        <f>$C$90*' Enrol &amp; Rev'!K34</f>
        <v>0</v>
      </c>
      <c r="K90" s="1062">
        <f>$C$90*' Enrol &amp; Rev'!L34</f>
        <v>0</v>
      </c>
      <c r="L90" s="1062">
        <f>$C$90*' Enrol &amp; Rev'!M34</f>
        <v>0</v>
      </c>
      <c r="M90" s="42"/>
      <c r="R90" s="541"/>
    </row>
    <row r="91" spans="1:18">
      <c r="A91" s="745">
        <f>ROW()</f>
        <v>91</v>
      </c>
      <c r="B91" s="114" t="s">
        <v>602</v>
      </c>
      <c r="C91" s="1239">
        <v>5</v>
      </c>
      <c r="D91" s="177" t="s">
        <v>301</v>
      </c>
      <c r="E91" s="177"/>
      <c r="F91" s="72"/>
      <c r="G91" s="1062">
        <f>$C$91*' Enrol &amp; Rev'!H34</f>
        <v>900</v>
      </c>
      <c r="H91" s="1062">
        <f>$C$91*' Enrol &amp; Rev'!I34</f>
        <v>1200</v>
      </c>
      <c r="I91" s="1062">
        <f>$C$91*' Enrol &amp; Rev'!J34</f>
        <v>1500</v>
      </c>
      <c r="J91" s="1062">
        <f>$C$91*' Enrol &amp; Rev'!K34</f>
        <v>1800</v>
      </c>
      <c r="K91" s="1062">
        <f>$C$91*' Enrol &amp; Rev'!L34</f>
        <v>1800</v>
      </c>
      <c r="L91" s="1062">
        <f>$C$91*' Enrol &amp; Rev'!M34</f>
        <v>1800</v>
      </c>
      <c r="M91" s="42"/>
      <c r="R91" s="541"/>
    </row>
    <row r="92" spans="1:18">
      <c r="A92" s="745">
        <f>ROW()</f>
        <v>92</v>
      </c>
      <c r="B92" s="114" t="s">
        <v>603</v>
      </c>
      <c r="C92" s="1239">
        <v>5</v>
      </c>
      <c r="D92" s="177" t="s">
        <v>565</v>
      </c>
      <c r="E92" s="177"/>
      <c r="F92" s="72"/>
      <c r="G92" s="1062">
        <f>$C$92*Staff!H$21</f>
        <v>95</v>
      </c>
      <c r="H92" s="1062">
        <f>$C$92*Staff!I$21</f>
        <v>115</v>
      </c>
      <c r="I92" s="1062">
        <f>$C$92*Staff!J$21</f>
        <v>150</v>
      </c>
      <c r="J92" s="1062">
        <f>$C$92*Staff!K$21</f>
        <v>170</v>
      </c>
      <c r="K92" s="1062">
        <f>$C$92*Staff!L$21</f>
        <v>170</v>
      </c>
      <c r="L92" s="1062">
        <f>$C$92*Staff!M$21</f>
        <v>175</v>
      </c>
      <c r="M92" s="42"/>
      <c r="R92" s="541"/>
    </row>
    <row r="93" spans="1:18">
      <c r="A93" s="745">
        <f>ROW()</f>
        <v>93</v>
      </c>
      <c r="B93" s="114" t="s">
        <v>604</v>
      </c>
      <c r="C93" s="1239">
        <v>0</v>
      </c>
      <c r="D93" s="177" t="s">
        <v>565</v>
      </c>
      <c r="E93" s="177"/>
      <c r="F93" s="72"/>
      <c r="G93" s="1062">
        <f>$C$93*Staff!H$21</f>
        <v>0</v>
      </c>
      <c r="H93" s="1062">
        <f>$C$93*Staff!I$21</f>
        <v>0</v>
      </c>
      <c r="I93" s="1062">
        <f>$C$93*Staff!J$21</f>
        <v>0</v>
      </c>
      <c r="J93" s="1062">
        <f>$C$93*Staff!K$21</f>
        <v>0</v>
      </c>
      <c r="K93" s="1062">
        <f>$C$93*Staff!L$21</f>
        <v>0</v>
      </c>
      <c r="L93" s="1062">
        <f>$C$93*Staff!M$21</f>
        <v>0</v>
      </c>
      <c r="M93" s="42"/>
      <c r="R93" s="541"/>
    </row>
    <row r="94" spans="1:18">
      <c r="A94" s="745">
        <f>ROW()</f>
        <v>94</v>
      </c>
      <c r="B94" s="114" t="s">
        <v>605</v>
      </c>
      <c r="C94" s="1239">
        <v>0</v>
      </c>
      <c r="D94" s="177" t="s">
        <v>565</v>
      </c>
      <c r="E94" s="177"/>
      <c r="F94" s="72"/>
      <c r="G94" s="1062">
        <f>$C$94*Staff!H$21</f>
        <v>0</v>
      </c>
      <c r="H94" s="1062">
        <f>$C$94*Staff!I$21</f>
        <v>0</v>
      </c>
      <c r="I94" s="1062">
        <f>$C$94*Staff!J$21</f>
        <v>0</v>
      </c>
      <c r="J94" s="1062">
        <f>$C$94*Staff!K$21</f>
        <v>0</v>
      </c>
      <c r="K94" s="1062">
        <f>$C$94*Staff!L$21</f>
        <v>0</v>
      </c>
      <c r="L94" s="1062">
        <f>$C$94*Staff!M$21</f>
        <v>0</v>
      </c>
      <c r="M94" s="42"/>
      <c r="R94" s="541" t="s">
        <v>1320</v>
      </c>
    </row>
    <row r="95" spans="1:18">
      <c r="A95" s="745">
        <f>ROW()</f>
        <v>95</v>
      </c>
      <c r="B95" s="114" t="s">
        <v>606</v>
      </c>
      <c r="C95" s="1239"/>
      <c r="D95" s="177" t="s">
        <v>607</v>
      </c>
      <c r="E95" s="177"/>
      <c r="F95" s="72"/>
      <c r="G95" s="1062">
        <f>IF($C$95*(Staff!G21-Staff!F21)&gt;0,$C$95*(Staff!G21-Staff!F21),0)</f>
        <v>0</v>
      </c>
      <c r="H95" s="1062">
        <f>IF($C$95*(Staff!H21-Staff!G21)&gt;0,$C$95*(Staff!H21-Staff!G21),0)</f>
        <v>0</v>
      </c>
      <c r="I95" s="1062">
        <f>IF($C$95*(Staff!I21-Staff!H21)&gt;0,$C$95*(Staff!I21-Staff!H21),0)</f>
        <v>0</v>
      </c>
      <c r="J95" s="1062">
        <f>IF($C$95*(Staff!J21-Staff!I21)&gt;0,$C$95*(Staff!J21-Staff!I21),0)</f>
        <v>0</v>
      </c>
      <c r="K95" s="1062">
        <f>IF($C$95*(Staff!K21-Staff!J21)&gt;0,$C$95*(Staff!K21-Staff!J21),0)</f>
        <v>0</v>
      </c>
      <c r="L95" s="1062">
        <f>IF($C$95*(Staff!L21-Staff!K21)&gt;0,$C$95*(Staff!L21-Staff!K21),0)</f>
        <v>0</v>
      </c>
      <c r="M95" s="42"/>
      <c r="R95" s="541"/>
    </row>
    <row r="96" spans="1:18">
      <c r="A96" s="745">
        <f>ROW()</f>
        <v>96</v>
      </c>
      <c r="B96" s="114" t="s">
        <v>608</v>
      </c>
      <c r="C96" s="1239">
        <v>60000</v>
      </c>
      <c r="D96" s="177" t="s">
        <v>596</v>
      </c>
      <c r="E96" s="177"/>
      <c r="F96" s="72"/>
      <c r="G96" s="1062">
        <f t="shared" ref="G96:L96" si="17">$C$96</f>
        <v>60000</v>
      </c>
      <c r="H96" s="1062">
        <f t="shared" si="17"/>
        <v>60000</v>
      </c>
      <c r="I96" s="1062">
        <f t="shared" si="17"/>
        <v>60000</v>
      </c>
      <c r="J96" s="1062">
        <f t="shared" si="17"/>
        <v>60000</v>
      </c>
      <c r="K96" s="1062">
        <f t="shared" si="17"/>
        <v>60000</v>
      </c>
      <c r="L96" s="1062">
        <f t="shared" si="17"/>
        <v>60000</v>
      </c>
      <c r="M96" s="42"/>
      <c r="R96" s="541"/>
    </row>
    <row r="97" spans="1:18">
      <c r="A97" s="745">
        <f>ROW()</f>
        <v>97</v>
      </c>
      <c r="B97" s="114" t="s">
        <v>609</v>
      </c>
      <c r="C97" s="1239">
        <v>700</v>
      </c>
      <c r="D97" s="177" t="s">
        <v>610</v>
      </c>
      <c r="E97" s="177"/>
      <c r="F97" s="72"/>
      <c r="G97" s="1062">
        <f>$C$97*' Enrol &amp; Rev'!H15</f>
        <v>2100</v>
      </c>
      <c r="H97" s="1062">
        <f>$C$97*' Enrol &amp; Rev'!I15</f>
        <v>2800</v>
      </c>
      <c r="I97" s="1062">
        <f>$C$97*' Enrol &amp; Rev'!J15</f>
        <v>3500</v>
      </c>
      <c r="J97" s="1062">
        <f>$C$97*' Enrol &amp; Rev'!K15</f>
        <v>4200</v>
      </c>
      <c r="K97" s="1062">
        <f>$C$97*' Enrol &amp; Rev'!L15</f>
        <v>4200</v>
      </c>
      <c r="L97" s="1062">
        <f>$C$97*' Enrol &amp; Rev'!M15</f>
        <v>4200</v>
      </c>
      <c r="M97" s="42"/>
      <c r="R97" s="541" t="s">
        <v>1273</v>
      </c>
    </row>
    <row r="98" spans="1:18">
      <c r="A98" s="745">
        <f>ROW()</f>
        <v>98</v>
      </c>
      <c r="B98" s="114" t="s">
        <v>611</v>
      </c>
      <c r="C98" s="1239">
        <v>0</v>
      </c>
      <c r="D98" s="177" t="s">
        <v>610</v>
      </c>
      <c r="E98" s="177"/>
      <c r="F98" s="72"/>
      <c r="G98" s="1062">
        <v>0</v>
      </c>
      <c r="H98" s="1062">
        <f>$C$98*' Enrol &amp; Rev'!I15</f>
        <v>0</v>
      </c>
      <c r="I98" s="1062">
        <f>$C$98*' Enrol &amp; Rev'!J15</f>
        <v>0</v>
      </c>
      <c r="J98" s="1062">
        <f>$C$98*' Enrol &amp; Rev'!K15</f>
        <v>0</v>
      </c>
      <c r="K98" s="1062">
        <f>$C$98*' Enrol &amp; Rev'!L15</f>
        <v>0</v>
      </c>
      <c r="L98" s="1062">
        <f>$C$98*' Enrol &amp; Rev'!M15</f>
        <v>0</v>
      </c>
      <c r="M98" s="42"/>
      <c r="R98" s="541"/>
    </row>
    <row r="99" spans="1:18">
      <c r="A99" s="745">
        <f>ROW()</f>
        <v>99</v>
      </c>
      <c r="B99" s="114" t="s">
        <v>612</v>
      </c>
      <c r="C99" s="1239">
        <v>20500</v>
      </c>
      <c r="D99" s="177" t="s">
        <v>596</v>
      </c>
      <c r="E99" s="177"/>
      <c r="F99" s="72"/>
      <c r="G99" s="1062">
        <v>3000</v>
      </c>
      <c r="H99" s="1062">
        <v>3000</v>
      </c>
      <c r="I99" s="1062">
        <v>3000</v>
      </c>
      <c r="J99" s="1062">
        <v>3500</v>
      </c>
      <c r="K99" s="1062">
        <v>4000</v>
      </c>
      <c r="L99" s="1062">
        <v>4000</v>
      </c>
      <c r="M99" s="42"/>
      <c r="R99" s="541" t="s">
        <v>1329</v>
      </c>
    </row>
    <row r="100" spans="1:18">
      <c r="A100" s="745">
        <f>ROW()</f>
        <v>100</v>
      </c>
      <c r="B100" s="114" t="s">
        <v>613</v>
      </c>
      <c r="C100" s="392" t="s">
        <v>614</v>
      </c>
      <c r="D100" s="177" t="s">
        <v>615</v>
      </c>
      <c r="E100" s="177"/>
      <c r="F100" s="72"/>
      <c r="G100" s="1062">
        <v>0</v>
      </c>
      <c r="H100" s="1062">
        <f>IF($C$100="yes",Staff!$C$68*Staff!$C$67*Staff!$C$66,0)</f>
        <v>0</v>
      </c>
      <c r="I100" s="1062">
        <f>IF($C$100="yes",Staff!$C$68*Staff!$C$67*Staff!$C$66,0)</f>
        <v>0</v>
      </c>
      <c r="J100" s="1062">
        <f>IF($C$100="yes",Staff!$C$68*Staff!$C$67*Staff!$C$66,0)</f>
        <v>0</v>
      </c>
      <c r="K100" s="1062">
        <f>IF($C$100="yes",Staff!$C$68*Staff!$C$67*Staff!$C$66,0)</f>
        <v>0</v>
      </c>
      <c r="L100" s="1062">
        <f>IF($C$100="yes",Staff!$C$68*Staff!$C$67*Staff!$C$66,0)</f>
        <v>0</v>
      </c>
      <c r="M100" s="42"/>
      <c r="R100" s="541"/>
    </row>
    <row r="101" spans="1:18">
      <c r="A101" s="745">
        <f>ROW()</f>
        <v>101</v>
      </c>
      <c r="C101" s="219"/>
      <c r="D101" s="178"/>
      <c r="E101" s="178"/>
      <c r="F101" s="492"/>
      <c r="G101" s="492"/>
      <c r="H101" s="492"/>
      <c r="I101" s="492"/>
      <c r="J101" s="492"/>
      <c r="K101" s="492"/>
      <c r="L101" s="492"/>
      <c r="M101" s="46"/>
      <c r="N101" s="84"/>
      <c r="O101" s="84"/>
      <c r="P101" s="84"/>
      <c r="Q101" s="84"/>
      <c r="R101" s="541"/>
    </row>
    <row r="102" spans="1:18" ht="15.75" thickBot="1">
      <c r="A102" s="745">
        <f>ROW()</f>
        <v>102</v>
      </c>
      <c r="B102" s="1451" t="s">
        <v>616</v>
      </c>
      <c r="C102" s="1452"/>
      <c r="D102" s="1451"/>
      <c r="E102" s="1451"/>
      <c r="F102" s="1453">
        <f t="shared" ref="F102:L102" si="18">SUM(F65:F101)</f>
        <v>0</v>
      </c>
      <c r="G102" s="1453">
        <f t="shared" si="18"/>
        <v>165779</v>
      </c>
      <c r="H102" s="1453">
        <f t="shared" si="18"/>
        <v>199130</v>
      </c>
      <c r="I102" s="1453">
        <f t="shared" si="18"/>
        <v>245529</v>
      </c>
      <c r="J102" s="1453">
        <f t="shared" si="18"/>
        <v>133750</v>
      </c>
      <c r="K102" s="1453">
        <f t="shared" si="18"/>
        <v>142189</v>
      </c>
      <c r="L102" s="1453">
        <f t="shared" si="18"/>
        <v>136495</v>
      </c>
      <c r="M102" s="42"/>
      <c r="R102" s="541"/>
    </row>
    <row r="103" spans="1:18" ht="15.75" thickTop="1">
      <c r="A103" s="745">
        <f>ROW()</f>
        <v>103</v>
      </c>
      <c r="B103" s="148" t="s">
        <v>301</v>
      </c>
      <c r="C103" s="225"/>
      <c r="D103" s="148"/>
      <c r="E103" s="148"/>
      <c r="F103" s="901">
        <f>IFERROR(F102/' Enrol &amp; Rev'!G34,0)</f>
        <v>0</v>
      </c>
      <c r="G103" s="901">
        <f>IFERROR(G102/' Enrol &amp; Rev'!H34,0)</f>
        <v>920.99444444444441</v>
      </c>
      <c r="H103" s="901">
        <f>IFERROR(H102/' Enrol &amp; Rev'!I34,0)</f>
        <v>829.70833333333337</v>
      </c>
      <c r="I103" s="901">
        <f>IFERROR(I102/' Enrol &amp; Rev'!J34,0)</f>
        <v>818.43</v>
      </c>
      <c r="J103" s="901">
        <f>IFERROR(J102/' Enrol &amp; Rev'!K34,0)</f>
        <v>371.52777777777777</v>
      </c>
      <c r="K103" s="901">
        <f>IFERROR(K102/' Enrol &amp; Rev'!L34,0)</f>
        <v>394.96944444444443</v>
      </c>
      <c r="L103" s="901">
        <f>IFERROR(L102/' Enrol &amp; Rev'!M34,0)</f>
        <v>379.15277777777777</v>
      </c>
      <c r="M103" s="123"/>
      <c r="N103" s="147"/>
      <c r="O103" s="147"/>
      <c r="P103" s="147"/>
      <c r="Q103" s="147"/>
      <c r="R103" s="541"/>
    </row>
    <row r="104" spans="1:18">
      <c r="A104" s="745">
        <f>ROW()</f>
        <v>104</v>
      </c>
      <c r="B104" s="86"/>
      <c r="C104" s="224"/>
      <c r="D104" s="86"/>
      <c r="E104" s="148"/>
      <c r="F104" s="393"/>
      <c r="G104" s="1047"/>
      <c r="H104" s="1047"/>
      <c r="I104" s="1047"/>
      <c r="J104" s="1047"/>
      <c r="K104" s="1047"/>
      <c r="L104" s="1047"/>
      <c r="M104" s="493"/>
      <c r="R104" s="541"/>
    </row>
    <row r="105" spans="1:18">
      <c r="A105" s="745">
        <f>ROW()</f>
        <v>105</v>
      </c>
      <c r="B105" s="86" t="s">
        <v>617</v>
      </c>
      <c r="C105" s="222"/>
      <c r="D105" s="93"/>
      <c r="E105" s="148"/>
      <c r="F105" s="1047"/>
      <c r="G105" s="1047"/>
      <c r="H105" s="1047"/>
      <c r="I105" s="1047"/>
      <c r="J105" s="1047"/>
      <c r="K105" s="1047"/>
      <c r="L105" s="1047"/>
      <c r="M105" s="42"/>
      <c r="R105" s="541"/>
    </row>
    <row r="106" spans="1:18">
      <c r="A106" s="745">
        <f>ROW()</f>
        <v>106</v>
      </c>
      <c r="B106" s="84" t="s">
        <v>618</v>
      </c>
      <c r="C106" s="1239">
        <v>15000</v>
      </c>
      <c r="D106" s="907"/>
      <c r="E106" s="148"/>
      <c r="F106" s="874"/>
      <c r="G106" s="1047">
        <f>$C$106</f>
        <v>15000</v>
      </c>
      <c r="H106" s="1047">
        <f>$C$106</f>
        <v>15000</v>
      </c>
      <c r="I106" s="1047">
        <f>$C$106*1.03</f>
        <v>15450</v>
      </c>
      <c r="J106" s="1047">
        <f>$I$106*1.03</f>
        <v>15913.5</v>
      </c>
      <c r="K106" s="1047">
        <f>$J$106*1.03</f>
        <v>16390.904999999999</v>
      </c>
      <c r="L106" s="1047">
        <f>$J$106*1.03</f>
        <v>16390.904999999999</v>
      </c>
      <c r="M106" s="42"/>
      <c r="R106" s="541"/>
    </row>
    <row r="107" spans="1:18">
      <c r="A107" s="745">
        <f>ROW()</f>
        <v>107</v>
      </c>
      <c r="B107" s="84"/>
      <c r="C107" s="226"/>
      <c r="D107" s="179"/>
      <c r="E107" s="148"/>
      <c r="F107" s="874"/>
      <c r="G107" s="1047"/>
      <c r="H107" s="1047"/>
      <c r="I107" s="1047"/>
      <c r="J107" s="1047"/>
      <c r="K107" s="1047"/>
      <c r="L107" s="1047"/>
      <c r="M107" s="42"/>
      <c r="R107" s="541"/>
    </row>
    <row r="108" spans="1:18">
      <c r="A108" s="745">
        <f>ROW()</f>
        <v>108</v>
      </c>
      <c r="B108" s="84" t="s">
        <v>619</v>
      </c>
      <c r="C108" s="1239">
        <v>10000</v>
      </c>
      <c r="D108" s="907"/>
      <c r="E108" s="148"/>
      <c r="F108" s="874"/>
      <c r="G108" s="1047">
        <f>$C$108</f>
        <v>10000</v>
      </c>
      <c r="H108" s="1047">
        <f>$C$108</f>
        <v>10000</v>
      </c>
      <c r="I108" s="1047">
        <f>$H$108*1.03</f>
        <v>10300</v>
      </c>
      <c r="J108" s="1047">
        <f>$I$108*1.03</f>
        <v>10609</v>
      </c>
      <c r="K108" s="1047">
        <f>$J$108*1.03</f>
        <v>10927.27</v>
      </c>
      <c r="L108" s="1047">
        <f>$J$108*1.03</f>
        <v>10927.27</v>
      </c>
      <c r="M108" s="42"/>
      <c r="R108" s="541"/>
    </row>
    <row r="109" spans="1:18">
      <c r="A109" s="745">
        <f>ROW()</f>
        <v>109</v>
      </c>
      <c r="B109" s="86"/>
      <c r="C109" s="222"/>
      <c r="D109" s="93"/>
      <c r="E109" s="148"/>
      <c r="F109" s="1218"/>
      <c r="G109" s="1218"/>
      <c r="H109" s="1218"/>
      <c r="I109" s="1218"/>
      <c r="J109" s="1218"/>
      <c r="K109" s="1218"/>
      <c r="L109" s="1218"/>
      <c r="M109" s="42"/>
      <c r="R109" s="541"/>
    </row>
    <row r="110" spans="1:18" ht="15.75" thickBot="1">
      <c r="A110" s="745">
        <f>ROW()</f>
        <v>110</v>
      </c>
      <c r="B110" s="1451" t="s">
        <v>620</v>
      </c>
      <c r="C110" s="1452"/>
      <c r="D110" s="1451"/>
      <c r="E110" s="1451"/>
      <c r="F110" s="1453">
        <f t="shared" ref="F110:L110" si="19">SUM(F106:F108)</f>
        <v>0</v>
      </c>
      <c r="G110" s="1453">
        <f t="shared" si="19"/>
        <v>25000</v>
      </c>
      <c r="H110" s="1453">
        <f t="shared" si="19"/>
        <v>25000</v>
      </c>
      <c r="I110" s="1453">
        <f t="shared" si="19"/>
        <v>25750</v>
      </c>
      <c r="J110" s="1453">
        <f t="shared" si="19"/>
        <v>26522.5</v>
      </c>
      <c r="K110" s="1453">
        <f t="shared" si="19"/>
        <v>27318.174999999999</v>
      </c>
      <c r="L110" s="1453">
        <f t="shared" si="19"/>
        <v>27318.174999999999</v>
      </c>
      <c r="M110" s="42"/>
      <c r="R110" s="541"/>
    </row>
    <row r="111" spans="1:18" ht="15.75" thickTop="1">
      <c r="A111" s="745">
        <f>ROW()</f>
        <v>111</v>
      </c>
      <c r="B111" s="86"/>
      <c r="C111" s="224"/>
      <c r="D111" s="86"/>
      <c r="E111" s="148"/>
      <c r="F111" s="1219"/>
      <c r="G111" s="1219"/>
      <c r="H111" s="1219"/>
      <c r="I111" s="1047"/>
      <c r="J111" s="1047"/>
      <c r="K111" s="1047"/>
      <c r="L111" s="1047"/>
      <c r="M111" s="42"/>
      <c r="N111" s="94"/>
      <c r="O111" s="94"/>
      <c r="P111" s="94"/>
      <c r="Q111" s="94"/>
      <c r="R111" s="541"/>
    </row>
    <row r="112" spans="1:18">
      <c r="A112" s="745">
        <f>ROW()</f>
        <v>112</v>
      </c>
      <c r="B112" s="86" t="s">
        <v>621</v>
      </c>
      <c r="C112" s="224" t="s">
        <v>622</v>
      </c>
      <c r="D112" s="86"/>
      <c r="E112" s="86"/>
      <c r="F112" s="1219"/>
      <c r="G112" s="1219"/>
      <c r="H112" s="1219"/>
      <c r="I112" s="1047"/>
      <c r="J112" s="1047"/>
      <c r="K112" s="1047"/>
      <c r="L112" s="1047"/>
      <c r="M112" s="42"/>
      <c r="N112" s="94"/>
      <c r="O112" s="94"/>
      <c r="P112" s="94"/>
      <c r="Q112" s="94"/>
      <c r="R112" s="541"/>
    </row>
    <row r="113" spans="1:18">
      <c r="A113" s="745">
        <f>ROW()</f>
        <v>113</v>
      </c>
      <c r="B113" s="80" t="s">
        <v>623</v>
      </c>
      <c r="C113" s="514" t="s">
        <v>296</v>
      </c>
      <c r="D113" s="549">
        <v>1.45</v>
      </c>
      <c r="E113" s="904"/>
      <c r="F113" s="1047"/>
      <c r="G113" s="1047">
        <f>IF($C$113="yes",' Enrol &amp; Rev'!H34*Staff!$C$65*$D$113,(' Enrol &amp; Rev'!H34*' Enrol &amp; Rev'!H61)*Staff!$C$65*$D$113)</f>
        <v>46980</v>
      </c>
      <c r="H113" s="1047">
        <f>IF($C$113="yes",' Enrol &amp; Rev'!I34*Staff!$C$65*$D$113,(' Enrol &amp; Rev'!I34*' Enrol &amp; Rev'!I61)*Staff!$C$65*$D$113)</f>
        <v>62640</v>
      </c>
      <c r="I113" s="1047">
        <f>IF($C$113="yes",' Enrol &amp; Rev'!J34*Staff!$C$65*$D$113,(' Enrol &amp; Rev'!J34*' Enrol &amp; Rev'!J61)*Staff!$C$65*$D$113)</f>
        <v>78300</v>
      </c>
      <c r="J113" s="1047">
        <f>IF($C$113="yes",' Enrol &amp; Rev'!K34*Staff!$C$65*$D$113,(' Enrol &amp; Rev'!K34*' Enrol &amp; Rev'!K61)*Staff!$C$65*$D$113)</f>
        <v>93960</v>
      </c>
      <c r="K113" s="1047">
        <f>IF($C$113="yes",' Enrol &amp; Rev'!L34*Staff!$C$65*$D$113,(' Enrol &amp; Rev'!L34*' Enrol &amp; Rev'!L61)*Staff!$C$65*$D$113)</f>
        <v>93960</v>
      </c>
      <c r="L113" s="1047">
        <f>IF($C$113="yes",' Enrol &amp; Rev'!M34*Staff!$C$65*$D$113,(' Enrol &amp; Rev'!M34*' Enrol &amp; Rev'!M61)*Staff!$C$65*$D$113)</f>
        <v>93960</v>
      </c>
      <c r="M113" s="42"/>
      <c r="R113" s="541"/>
    </row>
    <row r="114" spans="1:18">
      <c r="A114" s="745">
        <f>ROW()</f>
        <v>114</v>
      </c>
      <c r="B114" s="180" t="s">
        <v>624</v>
      </c>
      <c r="C114" s="514" t="s">
        <v>296</v>
      </c>
      <c r="D114" s="906">
        <v>2.25</v>
      </c>
      <c r="E114" s="905"/>
      <c r="F114" s="1220"/>
      <c r="G114" s="1047">
        <f>IF($C$114="yes",' Enrol &amp; Rev'!H34*Staff!$C$65*$D$114,(' Enrol &amp; Rev'!H34*' Enrol &amp; Rev'!H61)*Staff!$C$65*$D$114)</f>
        <v>72900</v>
      </c>
      <c r="H114" s="1047">
        <f>IF($C$114="yes",' Enrol &amp; Rev'!I34*Staff!$C$65*$D$114,(' Enrol &amp; Rev'!I34*' Enrol &amp; Rev'!I61)*Staff!$C$65*$D$114)</f>
        <v>97200</v>
      </c>
      <c r="I114" s="1047">
        <f>IF($C$114="yes",' Enrol &amp; Rev'!J34*Staff!$C$65*$D$114,(' Enrol &amp; Rev'!J34*' Enrol &amp; Rev'!J61)*Staff!$C$65*$D$114)</f>
        <v>121500</v>
      </c>
      <c r="J114" s="1047">
        <f>IF($C$114="yes",' Enrol &amp; Rev'!K34*Staff!$C$65*$D$114,(' Enrol &amp; Rev'!K34*' Enrol &amp; Rev'!K61)*Staff!$C$65*$D$114)</f>
        <v>145800</v>
      </c>
      <c r="K114" s="1047">
        <f>IF($C$114="yes",' Enrol &amp; Rev'!L34*Staff!$C$65*$D$114,(' Enrol &amp; Rev'!L34*' Enrol &amp; Rev'!L61)*Staff!$C$65*$D$114)</f>
        <v>145800</v>
      </c>
      <c r="L114" s="1047">
        <f>IF($C$114="yes",' Enrol &amp; Rev'!M34*Staff!$C$65*$D$114,(' Enrol &amp; Rev'!M34*' Enrol &amp; Rev'!M61)*Staff!$C$65*$D$114)</f>
        <v>145800</v>
      </c>
      <c r="M114" s="54"/>
      <c r="N114" s="181"/>
      <c r="O114" s="181"/>
      <c r="P114" s="181"/>
      <c r="Q114" s="181"/>
      <c r="R114" s="541"/>
    </row>
    <row r="115" spans="1:18">
      <c r="A115" s="745">
        <f>ROW()</f>
        <v>115</v>
      </c>
      <c r="B115" s="84" t="s">
        <v>625</v>
      </c>
      <c r="C115" s="514" t="s">
        <v>296</v>
      </c>
      <c r="D115" s="549"/>
      <c r="E115" s="904"/>
      <c r="F115" s="1047"/>
      <c r="G115" s="1047">
        <f>IF($C$115="yes",$D$115*' Enrol &amp; Rev'!H34*Staff!$C$65,0)</f>
        <v>0</v>
      </c>
      <c r="H115" s="1047">
        <f>IF($C$115="yes",$D$115*' Enrol &amp; Rev'!I34*Staff!$C$65,0)</f>
        <v>0</v>
      </c>
      <c r="I115" s="1047">
        <f>IF($C$115="yes",$D$115*' Enrol &amp; Rev'!J34*Staff!$C$65,0)</f>
        <v>0</v>
      </c>
      <c r="J115" s="1047">
        <f>IF($C$115="yes",$D$115*' Enrol &amp; Rev'!K34*Staff!$C$65,0)</f>
        <v>0</v>
      </c>
      <c r="K115" s="1047">
        <f>IF($C$115="yes",$D$115*' Enrol &amp; Rev'!L34*Staff!$C$65,0)</f>
        <v>0</v>
      </c>
      <c r="L115" s="1047">
        <f>IF($C$115="yes",$D$115*' Enrol &amp; Rev'!M34*Staff!$C$65,0)</f>
        <v>0</v>
      </c>
      <c r="M115" s="42"/>
      <c r="R115" s="541"/>
    </row>
    <row r="116" spans="1:18">
      <c r="A116" s="745">
        <f>ROW()</f>
        <v>116</v>
      </c>
      <c r="B116" s="106" t="s">
        <v>626</v>
      </c>
      <c r="C116" s="514" t="s">
        <v>614</v>
      </c>
      <c r="D116" s="549">
        <v>0</v>
      </c>
      <c r="E116" s="904"/>
      <c r="F116" s="874"/>
      <c r="G116" s="874">
        <f>IF($C$116="yes",$D$116*Staff!$C$66*' Enrol &amp; Rev'!H34,0)</f>
        <v>0</v>
      </c>
      <c r="H116" s="874">
        <f>IF($C$116="yes",$D$116*Staff!$C$66*' Enrol &amp; Rev'!I34,0)</f>
        <v>0</v>
      </c>
      <c r="I116" s="874">
        <f>IF($C$116="yes",$D$116*Staff!$C$66*' Enrol &amp; Rev'!J34,0)</f>
        <v>0</v>
      </c>
      <c r="J116" s="874">
        <f>IF($C$116="yes",$D$116*Staff!$C$66*' Enrol &amp; Rev'!K34,0)</f>
        <v>0</v>
      </c>
      <c r="K116" s="874">
        <f>IF($C$116="yes",$D$116*Staff!$C$66*' Enrol &amp; Rev'!L34,0)</f>
        <v>0</v>
      </c>
      <c r="L116" s="874">
        <f>IF($C$116="yes",$D$116*Staff!$C$66*' Enrol &amp; Rev'!M34,0)</f>
        <v>0</v>
      </c>
      <c r="M116" s="42"/>
      <c r="R116" s="541"/>
    </row>
    <row r="117" spans="1:18">
      <c r="A117" s="745">
        <f>ROW()</f>
        <v>117</v>
      </c>
      <c r="B117" s="150"/>
      <c r="C117" s="220"/>
      <c r="D117" s="150"/>
      <c r="E117" s="150"/>
      <c r="F117" s="1218"/>
      <c r="G117" s="1218"/>
      <c r="H117" s="1218"/>
      <c r="I117" s="1218"/>
      <c r="J117" s="1218"/>
      <c r="K117" s="1218"/>
      <c r="L117" s="1218"/>
      <c r="M117" s="42"/>
      <c r="R117" s="541"/>
    </row>
    <row r="118" spans="1:18" ht="15.75" thickBot="1">
      <c r="A118" s="745">
        <f>ROW()</f>
        <v>118</v>
      </c>
      <c r="B118" s="1451" t="s">
        <v>627</v>
      </c>
      <c r="C118" s="1452"/>
      <c r="D118" s="1451"/>
      <c r="E118" s="1451"/>
      <c r="F118" s="1453">
        <f t="shared" ref="F118:L118" si="20">SUM(F113:F116)</f>
        <v>0</v>
      </c>
      <c r="G118" s="1453">
        <f t="shared" si="20"/>
        <v>119880</v>
      </c>
      <c r="H118" s="1453">
        <f t="shared" si="20"/>
        <v>159840</v>
      </c>
      <c r="I118" s="1453">
        <f t="shared" si="20"/>
        <v>199800</v>
      </c>
      <c r="J118" s="1453">
        <f t="shared" si="20"/>
        <v>239760</v>
      </c>
      <c r="K118" s="1453">
        <f t="shared" si="20"/>
        <v>239760</v>
      </c>
      <c r="L118" s="1453">
        <f t="shared" si="20"/>
        <v>239760</v>
      </c>
      <c r="M118" s="42"/>
      <c r="R118" s="541"/>
    </row>
    <row r="119" spans="1:18" ht="15.75" thickTop="1">
      <c r="A119" s="745">
        <f>ROW()</f>
        <v>119</v>
      </c>
      <c r="C119" s="222"/>
      <c r="F119" s="1047"/>
      <c r="G119" s="1047"/>
      <c r="H119" s="1047"/>
      <c r="I119" s="1047"/>
      <c r="J119" s="1047"/>
      <c r="K119" s="1047"/>
      <c r="L119" s="1047"/>
      <c r="M119" s="42"/>
      <c r="R119" s="541"/>
    </row>
    <row r="120" spans="1:18">
      <c r="A120" s="745">
        <f>ROW()</f>
        <v>120</v>
      </c>
      <c r="B120" s="86" t="s">
        <v>628</v>
      </c>
      <c r="C120" s="224"/>
      <c r="D120" s="86"/>
      <c r="E120" s="86"/>
      <c r="G120" s="496"/>
      <c r="H120" s="496"/>
      <c r="I120" s="496"/>
      <c r="J120" s="496"/>
      <c r="K120" s="496"/>
      <c r="L120" s="496"/>
      <c r="M120" s="42"/>
      <c r="R120" s="541"/>
    </row>
    <row r="121" spans="1:18">
      <c r="A121" s="745">
        <f>ROW()</f>
        <v>121</v>
      </c>
      <c r="B121" s="108" t="s">
        <v>629</v>
      </c>
      <c r="C121" s="227"/>
      <c r="D121" s="108"/>
      <c r="E121" s="108"/>
      <c r="F121" s="1063">
        <v>0</v>
      </c>
      <c r="G121" s="1063">
        <v>0</v>
      </c>
      <c r="H121" s="1063">
        <v>0</v>
      </c>
      <c r="I121" s="1063">
        <v>0</v>
      </c>
      <c r="J121" s="1063">
        <v>0</v>
      </c>
      <c r="K121" s="1063">
        <v>0</v>
      </c>
      <c r="L121" s="1063">
        <v>0</v>
      </c>
      <c r="M121" s="42"/>
      <c r="R121" s="541"/>
    </row>
    <row r="122" spans="1:18">
      <c r="A122" s="745">
        <f>ROW()</f>
        <v>122</v>
      </c>
      <c r="B122" s="108"/>
      <c r="C122" s="227"/>
      <c r="D122" s="108"/>
      <c r="E122" s="108"/>
      <c r="F122" s="108"/>
      <c r="G122" s="496"/>
      <c r="H122" s="496"/>
      <c r="I122" s="496"/>
      <c r="J122" s="496"/>
      <c r="K122" s="496"/>
      <c r="L122" s="496"/>
      <c r="M122" s="42"/>
      <c r="R122" s="541"/>
    </row>
    <row r="123" spans="1:18">
      <c r="A123" s="745">
        <f>ROW()</f>
        <v>123</v>
      </c>
      <c r="B123" s="86" t="s">
        <v>630</v>
      </c>
      <c r="C123" s="224"/>
      <c r="D123" s="86"/>
      <c r="E123" s="86"/>
      <c r="M123" s="41"/>
      <c r="N123" s="77"/>
      <c r="O123" s="77"/>
      <c r="P123" s="77"/>
      <c r="Q123" s="77"/>
      <c r="R123" s="541"/>
    </row>
    <row r="124" spans="1:18">
      <c r="A124" s="745">
        <f>ROW()</f>
        <v>124</v>
      </c>
      <c r="B124" s="108" t="s">
        <v>631</v>
      </c>
      <c r="C124" s="1333">
        <v>0</v>
      </c>
      <c r="D124" s="52"/>
      <c r="E124" s="108"/>
      <c r="H124" s="52"/>
      <c r="I124" s="52"/>
      <c r="J124" s="52"/>
      <c r="K124" s="52"/>
      <c r="L124" s="52"/>
      <c r="M124" s="52"/>
      <c r="N124" s="108"/>
      <c r="O124" s="108"/>
      <c r="P124" s="108"/>
      <c r="Q124" s="157"/>
      <c r="R124" s="541"/>
    </row>
    <row r="125" spans="1:18">
      <c r="A125" s="745">
        <f>ROW()</f>
        <v>125</v>
      </c>
      <c r="B125" s="108" t="s">
        <v>632</v>
      </c>
      <c r="C125" s="1334">
        <v>0</v>
      </c>
      <c r="D125" s="52"/>
      <c r="E125" s="108"/>
      <c r="H125" s="52"/>
      <c r="I125" s="52"/>
      <c r="J125" s="52"/>
      <c r="K125" s="52"/>
      <c r="L125" s="52"/>
      <c r="M125" s="52"/>
      <c r="N125" s="108"/>
      <c r="O125" s="108"/>
      <c r="P125" s="108"/>
      <c r="Q125" s="108"/>
      <c r="R125" s="541"/>
    </row>
    <row r="126" spans="1:18">
      <c r="A126" s="745">
        <f>ROW()</f>
        <v>126</v>
      </c>
      <c r="B126" s="108" t="s">
        <v>633</v>
      </c>
      <c r="C126" s="1335">
        <v>0</v>
      </c>
      <c r="D126" s="497"/>
      <c r="E126" s="108"/>
      <c r="H126" s="497"/>
      <c r="I126" s="497"/>
      <c r="J126" s="52"/>
      <c r="K126" s="52"/>
      <c r="L126" s="52"/>
      <c r="M126" s="52"/>
      <c r="N126" s="108"/>
      <c r="O126" s="108"/>
      <c r="P126" s="108"/>
      <c r="Q126" s="108"/>
      <c r="R126" s="541"/>
    </row>
    <row r="127" spans="1:18">
      <c r="A127" s="745">
        <f>ROW()</f>
        <v>127</v>
      </c>
      <c r="B127" s="108" t="s">
        <v>634</v>
      </c>
      <c r="C127" s="1334">
        <v>0</v>
      </c>
      <c r="D127" s="498"/>
      <c r="E127" s="108"/>
      <c r="H127" s="498"/>
      <c r="I127" s="498"/>
      <c r="J127" s="52"/>
      <c r="K127" s="52"/>
      <c r="L127" s="52"/>
      <c r="M127" s="52"/>
      <c r="N127" s="108"/>
      <c r="O127" s="108"/>
      <c r="P127" s="108"/>
      <c r="Q127" s="108"/>
      <c r="R127" s="541"/>
    </row>
    <row r="128" spans="1:18">
      <c r="A128" s="745">
        <f>ROW()</f>
        <v>128</v>
      </c>
      <c r="B128" s="108" t="s">
        <v>635</v>
      </c>
      <c r="C128" s="1228">
        <f>C127*Staff!C65</f>
        <v>0</v>
      </c>
      <c r="D128" s="498"/>
      <c r="E128" s="108"/>
      <c r="H128" s="498"/>
      <c r="I128" s="498"/>
      <c r="J128" s="52"/>
      <c r="K128" s="52"/>
      <c r="L128" s="52"/>
      <c r="M128" s="52"/>
      <c r="N128" s="108"/>
      <c r="O128" s="108"/>
      <c r="P128" s="108"/>
      <c r="Q128" s="108"/>
      <c r="R128" s="541"/>
    </row>
    <row r="129" spans="1:18">
      <c r="A129" s="745">
        <f>ROW()</f>
        <v>129</v>
      </c>
      <c r="B129" s="108" t="s">
        <v>636</v>
      </c>
      <c r="C129" s="1336">
        <v>0</v>
      </c>
      <c r="D129" s="52"/>
      <c r="E129" s="108"/>
      <c r="H129" s="52"/>
      <c r="I129" s="52"/>
      <c r="J129" s="52"/>
      <c r="K129" s="52"/>
      <c r="L129" s="52"/>
      <c r="M129" s="52"/>
      <c r="N129" s="108"/>
      <c r="O129" s="108"/>
      <c r="P129" s="108"/>
      <c r="Q129" s="108"/>
      <c r="R129" s="541"/>
    </row>
    <row r="130" spans="1:18">
      <c r="A130" s="745">
        <f>ROW()</f>
        <v>130</v>
      </c>
      <c r="B130" s="108" t="s">
        <v>637</v>
      </c>
      <c r="C130" s="1228">
        <f>IF(C128&lt;&gt;0,C128/C129,0)</f>
        <v>0</v>
      </c>
      <c r="D130" s="52"/>
      <c r="E130" s="108"/>
      <c r="H130" s="52"/>
      <c r="I130" s="52"/>
      <c r="J130" s="52"/>
      <c r="K130" s="52"/>
      <c r="L130" s="52"/>
      <c r="M130" s="52"/>
      <c r="N130" s="108"/>
      <c r="O130" s="108"/>
      <c r="P130" s="108"/>
      <c r="Q130" s="108"/>
      <c r="R130" s="541"/>
    </row>
    <row r="131" spans="1:18">
      <c r="A131" s="745">
        <f>ROW()</f>
        <v>131</v>
      </c>
      <c r="B131" s="108" t="s">
        <v>638</v>
      </c>
      <c r="C131" s="1337">
        <v>0</v>
      </c>
      <c r="D131" s="52"/>
      <c r="E131" s="108"/>
      <c r="H131" s="52"/>
      <c r="I131" s="52"/>
      <c r="J131" s="52"/>
      <c r="K131" s="52"/>
      <c r="L131" s="52"/>
      <c r="M131" s="52"/>
      <c r="N131" s="108"/>
      <c r="O131" s="108"/>
      <c r="P131" s="108"/>
      <c r="Q131" s="108"/>
      <c r="R131" s="541"/>
    </row>
    <row r="132" spans="1:18">
      <c r="A132" s="745">
        <f>ROW()</f>
        <v>132</v>
      </c>
      <c r="B132" s="108" t="s">
        <v>639</v>
      </c>
      <c r="C132" s="1229">
        <f>C130*C131</f>
        <v>0</v>
      </c>
      <c r="D132" s="52"/>
      <c r="E132" s="108"/>
      <c r="H132" s="52"/>
      <c r="I132" s="52"/>
      <c r="J132" s="52"/>
      <c r="K132" s="52"/>
      <c r="L132" s="52"/>
      <c r="M132" s="52"/>
      <c r="N132" s="108"/>
      <c r="O132" s="108"/>
      <c r="P132" s="108"/>
      <c r="Q132" s="108"/>
      <c r="R132" s="541"/>
    </row>
    <row r="133" spans="1:18">
      <c r="A133" s="745">
        <f>ROW()</f>
        <v>133</v>
      </c>
      <c r="B133" s="108" t="s">
        <v>640</v>
      </c>
      <c r="C133" s="1338">
        <v>0</v>
      </c>
      <c r="D133" s="52" t="s">
        <v>641</v>
      </c>
      <c r="E133" s="108"/>
      <c r="H133" s="52"/>
      <c r="I133" s="52"/>
      <c r="J133" s="52"/>
      <c r="K133" s="52"/>
      <c r="L133" s="52"/>
      <c r="M133" s="52"/>
      <c r="N133" s="108"/>
      <c r="O133" s="108"/>
      <c r="P133" s="108"/>
      <c r="Q133" s="108"/>
      <c r="R133" s="541"/>
    </row>
    <row r="134" spans="1:18">
      <c r="A134" s="745">
        <f>ROW()</f>
        <v>134</v>
      </c>
      <c r="B134" s="108" t="s">
        <v>642</v>
      </c>
      <c r="C134" s="1230">
        <f>C133*C128</f>
        <v>0</v>
      </c>
      <c r="D134" s="52"/>
      <c r="E134" s="108"/>
      <c r="H134" s="52"/>
      <c r="I134" s="52"/>
      <c r="J134" s="52"/>
      <c r="K134" s="52"/>
      <c r="L134" s="52"/>
      <c r="M134" s="52"/>
      <c r="N134" s="108"/>
      <c r="O134" s="108"/>
      <c r="P134" s="108"/>
      <c r="Q134" s="108"/>
      <c r="R134" s="541"/>
    </row>
    <row r="135" spans="1:18">
      <c r="A135" s="745">
        <f>ROW()</f>
        <v>135</v>
      </c>
      <c r="B135" s="108" t="s">
        <v>643</v>
      </c>
      <c r="C135" s="1335">
        <v>0</v>
      </c>
      <c r="D135" s="52" t="s">
        <v>644</v>
      </c>
      <c r="E135" s="108"/>
      <c r="H135" s="52"/>
      <c r="I135" s="52"/>
      <c r="J135" s="52"/>
      <c r="K135" s="52"/>
      <c r="L135" s="52"/>
      <c r="M135" s="52"/>
      <c r="N135" s="108"/>
      <c r="O135" s="108"/>
      <c r="P135" s="108"/>
      <c r="Q135" s="108"/>
      <c r="R135" s="541"/>
    </row>
    <row r="136" spans="1:18">
      <c r="A136" s="745">
        <f>ROW()</f>
        <v>136</v>
      </c>
      <c r="C136" s="222"/>
      <c r="F136" s="42"/>
      <c r="G136" s="783"/>
      <c r="H136" s="783"/>
      <c r="I136" s="783"/>
      <c r="J136" s="781"/>
      <c r="K136" s="781"/>
      <c r="L136" s="781"/>
      <c r="M136" s="42"/>
      <c r="R136" s="541"/>
    </row>
    <row r="137" spans="1:18">
      <c r="A137" s="745">
        <f>ROW()</f>
        <v>137</v>
      </c>
      <c r="B137" s="80" t="s">
        <v>645</v>
      </c>
      <c r="C137" s="222"/>
      <c r="F137" s="53"/>
      <c r="G137" s="394">
        <f>$C$124*' Enrol &amp; Rev'!H34</f>
        <v>0</v>
      </c>
      <c r="H137" s="394">
        <f>$C$124*' Enrol &amp; Rev'!I34</f>
        <v>0</v>
      </c>
      <c r="I137" s="394">
        <f>$C$124*' Enrol &amp; Rev'!J34</f>
        <v>0</v>
      </c>
      <c r="J137" s="394">
        <f>$C$124*' Enrol &amp; Rev'!K34</f>
        <v>0</v>
      </c>
      <c r="K137" s="394">
        <f>$C$124*' Enrol &amp; Rev'!L34</f>
        <v>0</v>
      </c>
      <c r="L137" s="394">
        <f>$C$124*' Enrol &amp; Rev'!M34</f>
        <v>0</v>
      </c>
      <c r="M137" s="42"/>
      <c r="R137" s="541"/>
    </row>
    <row r="138" spans="1:18">
      <c r="A138" s="745">
        <f>ROW()</f>
        <v>138</v>
      </c>
      <c r="B138" s="100" t="s">
        <v>646</v>
      </c>
      <c r="C138" s="228"/>
      <c r="D138" s="100"/>
      <c r="E138" s="100"/>
      <c r="F138" s="499"/>
      <c r="G138" s="1222">
        <f t="shared" ref="G138:L138" si="21">IF(G137=0,0,IF(G137&gt;($C$125*5),6,IF(G137&gt;($C$125*4),5,IF(G137&gt;($C$125*3),4,IF(G137&gt;($C$125*2),3,IF(G137&gt;$C$125,2,IF(G137&gt;0,1)))))))</f>
        <v>0</v>
      </c>
      <c r="H138" s="1222">
        <f t="shared" si="21"/>
        <v>0</v>
      </c>
      <c r="I138" s="1222">
        <f t="shared" si="21"/>
        <v>0</v>
      </c>
      <c r="J138" s="1222">
        <f t="shared" si="21"/>
        <v>0</v>
      </c>
      <c r="K138" s="1222">
        <f t="shared" si="21"/>
        <v>0</v>
      </c>
      <c r="L138" s="1222">
        <f t="shared" si="21"/>
        <v>0</v>
      </c>
      <c r="M138" s="42"/>
      <c r="R138" s="541"/>
    </row>
    <row r="139" spans="1:18">
      <c r="A139" s="745">
        <f>ROW()</f>
        <v>139</v>
      </c>
      <c r="B139" s="80" t="s">
        <v>647</v>
      </c>
      <c r="C139" s="222"/>
      <c r="F139" s="495"/>
      <c r="G139" s="874">
        <f>G138*$C$126</f>
        <v>0</v>
      </c>
      <c r="H139" s="874">
        <f>(H138-G138)*$C$126</f>
        <v>0</v>
      </c>
      <c r="I139" s="874">
        <f>(I138-H138)*$C$126</f>
        <v>0</v>
      </c>
      <c r="J139" s="874">
        <f>(J138-I138)*$C$126</f>
        <v>0</v>
      </c>
      <c r="K139" s="874">
        <f>(K138-J138)*$C$126</f>
        <v>0</v>
      </c>
      <c r="L139" s="874">
        <f>(L138-K138)*$C$126</f>
        <v>0</v>
      </c>
      <c r="M139" s="42"/>
      <c r="R139" s="541"/>
    </row>
    <row r="140" spans="1:18">
      <c r="A140" s="745">
        <f>ROW()</f>
        <v>140</v>
      </c>
      <c r="B140" s="80" t="s">
        <v>648</v>
      </c>
      <c r="C140" s="222"/>
      <c r="F140" s="68"/>
      <c r="G140" s="393">
        <f t="shared" ref="G140:L140" si="22">G138*$C$132</f>
        <v>0</v>
      </c>
      <c r="H140" s="393">
        <f t="shared" si="22"/>
        <v>0</v>
      </c>
      <c r="I140" s="393">
        <f t="shared" si="22"/>
        <v>0</v>
      </c>
      <c r="J140" s="393">
        <f t="shared" si="22"/>
        <v>0</v>
      </c>
      <c r="K140" s="393">
        <f t="shared" si="22"/>
        <v>0</v>
      </c>
      <c r="L140" s="393">
        <f t="shared" si="22"/>
        <v>0</v>
      </c>
      <c r="M140" s="42"/>
      <c r="R140" s="541"/>
    </row>
    <row r="141" spans="1:18">
      <c r="A141" s="745">
        <f>ROW()</f>
        <v>141</v>
      </c>
      <c r="B141" s="80" t="s">
        <v>649</v>
      </c>
      <c r="C141" s="222"/>
      <c r="F141" s="500"/>
      <c r="G141" s="875">
        <f t="shared" ref="G141:L141" si="23">G138*$C$134</f>
        <v>0</v>
      </c>
      <c r="H141" s="875">
        <f t="shared" si="23"/>
        <v>0</v>
      </c>
      <c r="I141" s="875">
        <f t="shared" si="23"/>
        <v>0</v>
      </c>
      <c r="J141" s="875">
        <f t="shared" si="23"/>
        <v>0</v>
      </c>
      <c r="K141" s="875">
        <f t="shared" si="23"/>
        <v>0</v>
      </c>
      <c r="L141" s="875">
        <f t="shared" si="23"/>
        <v>0</v>
      </c>
      <c r="M141" s="42"/>
      <c r="R141" s="541"/>
    </row>
    <row r="142" spans="1:18">
      <c r="A142" s="745">
        <f>ROW()</f>
        <v>142</v>
      </c>
      <c r="B142" s="80" t="s">
        <v>643</v>
      </c>
      <c r="C142" s="222"/>
      <c r="F142" s="500"/>
      <c r="G142" s="875">
        <f t="shared" ref="G142:L142" si="24">G138*$C$135</f>
        <v>0</v>
      </c>
      <c r="H142" s="875">
        <f t="shared" si="24"/>
        <v>0</v>
      </c>
      <c r="I142" s="875">
        <f t="shared" si="24"/>
        <v>0</v>
      </c>
      <c r="J142" s="875">
        <f t="shared" si="24"/>
        <v>0</v>
      </c>
      <c r="K142" s="875">
        <f t="shared" si="24"/>
        <v>0</v>
      </c>
      <c r="L142" s="875">
        <f t="shared" si="24"/>
        <v>0</v>
      </c>
      <c r="M142" s="42"/>
      <c r="R142" s="541"/>
    </row>
    <row r="143" spans="1:18" ht="15.75" thickBot="1">
      <c r="A143" s="745">
        <f>ROW()</f>
        <v>143</v>
      </c>
      <c r="C143" s="222"/>
      <c r="F143" s="501"/>
      <c r="G143" s="501"/>
      <c r="H143" s="501"/>
      <c r="I143" s="501"/>
      <c r="J143" s="501"/>
      <c r="K143" s="501"/>
      <c r="L143" s="501"/>
      <c r="M143" s="42"/>
      <c r="R143" s="541"/>
    </row>
    <row r="144" spans="1:18" ht="15.75" thickBot="1">
      <c r="A144" s="745">
        <f>ROW()</f>
        <v>144</v>
      </c>
      <c r="B144" s="1365" t="s">
        <v>650</v>
      </c>
      <c r="C144" s="1366">
        <f>SUM(F144:L144)</f>
        <v>0</v>
      </c>
      <c r="D144" s="1367"/>
      <c r="E144" s="1367"/>
      <c r="F144" s="1368">
        <f t="shared" ref="F144" si="25">SUM(F139:F142)</f>
        <v>0</v>
      </c>
      <c r="G144" s="1368">
        <f t="shared" ref="G144:L144" si="26">SUM(G139:G142)</f>
        <v>0</v>
      </c>
      <c r="H144" s="1368">
        <f t="shared" si="26"/>
        <v>0</v>
      </c>
      <c r="I144" s="1368">
        <f t="shared" si="26"/>
        <v>0</v>
      </c>
      <c r="J144" s="1368">
        <f t="shared" si="26"/>
        <v>0</v>
      </c>
      <c r="K144" s="1368">
        <f t="shared" si="26"/>
        <v>0</v>
      </c>
      <c r="L144" s="1368">
        <f t="shared" si="26"/>
        <v>0</v>
      </c>
      <c r="M144" s="42"/>
      <c r="R144" s="541"/>
    </row>
    <row r="145" spans="1:18">
      <c r="A145" s="745">
        <f>ROW()</f>
        <v>145</v>
      </c>
      <c r="G145" s="80"/>
      <c r="H145" s="80"/>
      <c r="I145" s="80"/>
      <c r="M145" s="42"/>
      <c r="R145" s="541"/>
    </row>
    <row r="146" spans="1:18" ht="15.75" thickBot="1">
      <c r="A146" s="745">
        <f>ROW()</f>
        <v>146</v>
      </c>
      <c r="B146" s="1451" t="s">
        <v>651</v>
      </c>
      <c r="C146" s="1452">
        <f>SUM(F146:L146)</f>
        <v>0</v>
      </c>
      <c r="D146" s="1451"/>
      <c r="E146" s="1451"/>
      <c r="F146" s="1453">
        <f t="shared" ref="F146" si="27">F144-F121</f>
        <v>0</v>
      </c>
      <c r="G146" s="1453">
        <f>G144-G121</f>
        <v>0</v>
      </c>
      <c r="H146" s="1453">
        <f t="shared" ref="H146:L146" si="28">H144-H121</f>
        <v>0</v>
      </c>
      <c r="I146" s="1453">
        <f t="shared" si="28"/>
        <v>0</v>
      </c>
      <c r="J146" s="1453">
        <f t="shared" si="28"/>
        <v>0</v>
      </c>
      <c r="K146" s="1453">
        <f t="shared" si="28"/>
        <v>0</v>
      </c>
      <c r="L146" s="1453">
        <f t="shared" si="28"/>
        <v>0</v>
      </c>
      <c r="M146" s="42"/>
      <c r="R146" s="1454" t="s">
        <v>652</v>
      </c>
    </row>
    <row r="147" spans="1:18" ht="15.75" thickTop="1">
      <c r="A147" s="745">
        <f>ROW()</f>
        <v>147</v>
      </c>
      <c r="C147" s="222"/>
      <c r="F147" s="42"/>
      <c r="G147" s="46"/>
      <c r="H147" s="46"/>
      <c r="I147" s="46"/>
      <c r="J147" s="42"/>
      <c r="K147" s="42"/>
      <c r="L147" s="42"/>
      <c r="M147" s="42"/>
    </row>
    <row r="148" spans="1:18">
      <c r="A148" s="745">
        <f>ROW()</f>
        <v>148</v>
      </c>
      <c r="B148" s="1813" t="s">
        <v>653</v>
      </c>
      <c r="C148" s="228"/>
      <c r="D148" s="1455"/>
      <c r="E148" s="1455"/>
      <c r="F148" s="118"/>
      <c r="G148" s="189"/>
      <c r="H148" s="1021"/>
      <c r="I148" s="189"/>
      <c r="J148" s="189"/>
      <c r="K148" s="1022"/>
      <c r="L148" s="1022"/>
      <c r="M148" s="42"/>
    </row>
    <row r="149" spans="1:18">
      <c r="A149" s="745">
        <f>ROW()</f>
        <v>149</v>
      </c>
      <c r="B149" s="423" t="s">
        <v>654</v>
      </c>
      <c r="C149" s="222"/>
      <c r="D149" s="1459"/>
      <c r="E149" s="1458"/>
      <c r="F149" s="1061">
        <v>0</v>
      </c>
      <c r="G149" s="1061">
        <v>0</v>
      </c>
      <c r="H149" s="1061">
        <v>0</v>
      </c>
      <c r="I149" s="1061">
        <v>0</v>
      </c>
      <c r="J149" s="1061">
        <v>0</v>
      </c>
      <c r="K149" s="1061">
        <v>0</v>
      </c>
      <c r="L149" s="1061">
        <v>0</v>
      </c>
      <c r="M149" s="42"/>
    </row>
    <row r="150" spans="1:18">
      <c r="A150" s="745">
        <f>ROW()</f>
        <v>150</v>
      </c>
      <c r="B150" s="1816" t="s">
        <v>655</v>
      </c>
      <c r="C150" s="222"/>
      <c r="D150" s="1456"/>
      <c r="E150" s="1457"/>
      <c r="F150" s="1062">
        <v>0</v>
      </c>
      <c r="G150" s="1062">
        <v>0</v>
      </c>
      <c r="H150" s="1062">
        <v>0</v>
      </c>
      <c r="I150" s="1062">
        <v>0</v>
      </c>
      <c r="J150" s="1062">
        <v>0</v>
      </c>
      <c r="K150" s="1062">
        <v>0</v>
      </c>
      <c r="L150" s="1062">
        <v>0</v>
      </c>
      <c r="M150" s="42"/>
    </row>
    <row r="151" spans="1:18">
      <c r="A151" s="745">
        <f>ROW()</f>
        <v>151</v>
      </c>
      <c r="B151" s="1816" t="s">
        <v>656</v>
      </c>
      <c r="C151" s="222"/>
      <c r="D151" s="1456"/>
      <c r="E151" s="1457"/>
      <c r="F151" s="1062"/>
      <c r="G151" s="1062"/>
      <c r="H151" s="1062"/>
      <c r="I151" s="1062"/>
      <c r="J151" s="1062"/>
      <c r="K151" s="1062"/>
      <c r="L151" s="1062"/>
      <c r="M151" s="42"/>
    </row>
    <row r="152" spans="1:18">
      <c r="A152" s="745">
        <f>ROW()</f>
        <v>152</v>
      </c>
      <c r="B152" s="1816" t="s">
        <v>657</v>
      </c>
      <c r="C152" s="222"/>
      <c r="D152" s="1456"/>
      <c r="E152" s="1457"/>
      <c r="F152" s="1062">
        <v>0</v>
      </c>
      <c r="G152" s="1062">
        <v>0</v>
      </c>
      <c r="H152" s="1062">
        <v>0</v>
      </c>
      <c r="I152" s="1062">
        <v>0</v>
      </c>
      <c r="J152" s="1062">
        <v>0</v>
      </c>
      <c r="K152" s="1062">
        <v>0</v>
      </c>
      <c r="L152" s="1062">
        <v>0</v>
      </c>
      <c r="M152" s="42"/>
    </row>
    <row r="153" spans="1:18">
      <c r="A153" s="745">
        <f>ROW()</f>
        <v>153</v>
      </c>
      <c r="B153" s="1816" t="s">
        <v>658</v>
      </c>
      <c r="C153" s="222"/>
      <c r="D153" s="1456"/>
      <c r="E153" s="1457"/>
      <c r="F153" s="1062">
        <v>0</v>
      </c>
      <c r="G153" s="1062">
        <v>0</v>
      </c>
      <c r="H153" s="1062">
        <v>0</v>
      </c>
      <c r="I153" s="1062">
        <v>0</v>
      </c>
      <c r="J153" s="1062">
        <v>0</v>
      </c>
      <c r="K153" s="1062">
        <v>0</v>
      </c>
      <c r="L153" s="1062">
        <v>0</v>
      </c>
      <c r="M153" s="42"/>
    </row>
    <row r="154" spans="1:18">
      <c r="A154" s="745">
        <f>ROW()</f>
        <v>154</v>
      </c>
      <c r="B154" s="1816" t="s">
        <v>659</v>
      </c>
      <c r="C154" s="222"/>
      <c r="D154" s="1456"/>
      <c r="E154" s="1457"/>
      <c r="F154" s="1062">
        <v>0</v>
      </c>
      <c r="G154" s="1062">
        <v>0</v>
      </c>
      <c r="H154" s="1062">
        <v>0</v>
      </c>
      <c r="I154" s="1062">
        <v>0</v>
      </c>
      <c r="J154" s="1062">
        <v>0</v>
      </c>
      <c r="K154" s="1062">
        <v>0</v>
      </c>
      <c r="L154" s="1062">
        <v>0</v>
      </c>
      <c r="M154" s="42"/>
    </row>
    <row r="155" spans="1:18">
      <c r="A155" s="745">
        <f>ROW()</f>
        <v>155</v>
      </c>
      <c r="B155" s="1816" t="s">
        <v>660</v>
      </c>
      <c r="C155" s="222"/>
      <c r="D155" s="1456"/>
      <c r="E155" s="1457"/>
      <c r="F155" s="1062"/>
      <c r="G155" s="1062"/>
      <c r="H155" s="1062"/>
      <c r="I155" s="1062"/>
      <c r="J155" s="1062"/>
      <c r="K155" s="1062"/>
      <c r="L155" s="1062"/>
      <c r="M155" s="42"/>
    </row>
    <row r="156" spans="1:18">
      <c r="A156" s="745">
        <f>ROW()</f>
        <v>156</v>
      </c>
      <c r="B156" s="1816" t="s">
        <v>661</v>
      </c>
      <c r="C156" s="222"/>
      <c r="D156" s="1456"/>
      <c r="E156" s="1457"/>
      <c r="F156" s="1062">
        <v>0</v>
      </c>
      <c r="G156" s="1062">
        <v>0</v>
      </c>
      <c r="H156" s="1062">
        <v>0</v>
      </c>
      <c r="I156" s="1062">
        <v>0</v>
      </c>
      <c r="J156" s="1062">
        <v>0</v>
      </c>
      <c r="K156" s="1062">
        <v>0</v>
      </c>
      <c r="L156" s="1062">
        <v>0</v>
      </c>
      <c r="M156" s="42"/>
    </row>
    <row r="157" spans="1:18">
      <c r="A157" s="745">
        <f>ROW()</f>
        <v>157</v>
      </c>
      <c r="B157" s="1816" t="s">
        <v>662</v>
      </c>
      <c r="C157" s="222"/>
      <c r="D157" s="1456"/>
      <c r="E157" s="1457"/>
      <c r="F157" s="1062">
        <v>0</v>
      </c>
      <c r="G157" s="1062">
        <v>0</v>
      </c>
      <c r="H157" s="1062">
        <v>0</v>
      </c>
      <c r="I157" s="1062">
        <v>0</v>
      </c>
      <c r="J157" s="1062">
        <v>0</v>
      </c>
      <c r="K157" s="1062">
        <v>0</v>
      </c>
      <c r="L157" s="1062">
        <v>0</v>
      </c>
      <c r="M157" s="42"/>
    </row>
    <row r="158" spans="1:18" ht="15.75" thickBot="1">
      <c r="A158" s="745">
        <f>ROW()</f>
        <v>158</v>
      </c>
      <c r="C158" s="222"/>
      <c r="D158" s="212"/>
      <c r="G158" s="42"/>
      <c r="H158" s="42"/>
      <c r="I158" s="42"/>
      <c r="J158" s="42"/>
      <c r="K158" s="42"/>
      <c r="L158" s="42"/>
      <c r="M158" s="42"/>
    </row>
    <row r="159" spans="1:18" ht="15.75" thickBot="1">
      <c r="A159" s="745">
        <f>ROW()</f>
        <v>159</v>
      </c>
      <c r="B159" s="1447" t="s">
        <v>663</v>
      </c>
      <c r="C159" s="1448">
        <f>SUM(F159:L159)</f>
        <v>0</v>
      </c>
      <c r="D159" s="1450"/>
      <c r="E159" s="1450"/>
      <c r="F159" s="1449">
        <f t="shared" ref="F159:L159" si="29">SUM(F149:F157)</f>
        <v>0</v>
      </c>
      <c r="G159" s="1449">
        <f t="shared" si="29"/>
        <v>0</v>
      </c>
      <c r="H159" s="1449">
        <f t="shared" si="29"/>
        <v>0</v>
      </c>
      <c r="I159" s="1449">
        <f t="shared" si="29"/>
        <v>0</v>
      </c>
      <c r="J159" s="1449">
        <f t="shared" si="29"/>
        <v>0</v>
      </c>
      <c r="K159" s="1449">
        <f t="shared" si="29"/>
        <v>0</v>
      </c>
      <c r="L159" s="1449">
        <f t="shared" si="29"/>
        <v>0</v>
      </c>
      <c r="M159" s="42"/>
    </row>
    <row r="160" spans="1:18">
      <c r="A160" s="745">
        <f>ROW()</f>
        <v>160</v>
      </c>
      <c r="M160" s="42"/>
    </row>
    <row r="161" spans="1:12">
      <c r="A161" s="745">
        <f>ROW()</f>
        <v>161</v>
      </c>
      <c r="B161" s="80" t="s">
        <v>664</v>
      </c>
      <c r="C161" s="711">
        <v>0.03</v>
      </c>
      <c r="F161" s="1221"/>
      <c r="G161" s="1221">
        <f t="shared" ref="G161:L161" si="30">SUM(G118,G110,G102,G146,G159)*((1+$C$161)^(G11-$F11)-1)</f>
        <v>9319.7700000000077</v>
      </c>
      <c r="H161" s="1221">
        <f t="shared" si="30"/>
        <v>23383.772999999983</v>
      </c>
      <c r="I161" s="1221">
        <f t="shared" si="30"/>
        <v>43681.742432999999</v>
      </c>
      <c r="J161" s="1221">
        <f t="shared" si="30"/>
        <v>50207.603036324967</v>
      </c>
      <c r="K161" s="1221">
        <f t="shared" si="30"/>
        <v>65185.650439501034</v>
      </c>
      <c r="L161" s="1221">
        <f t="shared" si="30"/>
        <v>78314.301426249978</v>
      </c>
    </row>
    <row r="162" spans="1:12" ht="15.75" thickBot="1">
      <c r="A162" s="745">
        <f>ROW()</f>
        <v>162</v>
      </c>
      <c r="C162" s="222"/>
      <c r="F162" s="900"/>
      <c r="G162" s="1053"/>
      <c r="H162" s="1053"/>
      <c r="I162" s="1053"/>
      <c r="J162" s="1053"/>
      <c r="K162" s="1053"/>
      <c r="L162" s="1053"/>
    </row>
    <row r="163" spans="1:12" ht="15.75" thickBot="1">
      <c r="A163" s="745">
        <f>ROW()</f>
        <v>163</v>
      </c>
      <c r="B163" s="691" t="s">
        <v>665</v>
      </c>
      <c r="C163" s="692">
        <f>SUM(F163:L163)</f>
        <v>2648673.6903350758</v>
      </c>
      <c r="D163" s="693"/>
      <c r="E163" s="693"/>
      <c r="F163" s="876">
        <f>F118+F110+F102</f>
        <v>0</v>
      </c>
      <c r="G163" s="876">
        <f>SUM(G118,G110,G102,G161,G146,G159)</f>
        <v>319978.77</v>
      </c>
      <c r="H163" s="876">
        <f>H118+H110+H102+H161</f>
        <v>407353.77299999999</v>
      </c>
      <c r="I163" s="876">
        <f>I118+I110+I102+I161</f>
        <v>514760.74243300001</v>
      </c>
      <c r="J163" s="876">
        <f>J118+J110+J102+J161</f>
        <v>450240.10303632496</v>
      </c>
      <c r="K163" s="876">
        <f>K118+K110+K102+K161</f>
        <v>474452.82543950103</v>
      </c>
      <c r="L163" s="876">
        <f>L118+L110+L102+L161</f>
        <v>481887.47642624995</v>
      </c>
    </row>
  </sheetData>
  <sheetProtection algorithmName="SHA-512" hashValue="zq5VM3E67naNFf90mzv0fQfQpTmI69UsNeutM0II3a9rZ/xX80DOk5KSR/YpTPeF/FM0w8nreCFFfm3V2bleXw==" saltValue="+RnpdTS3iphAbn5oaaBbKg==" spinCount="100000" sheet="1" objects="1" scenarios="1"/>
  <mergeCells count="1">
    <mergeCell ref="D10:E10"/>
  </mergeCells>
  <conditionalFormatting sqref="G37:L37 G39:L39 G43:L43 G41:L41">
    <cfRule type="cellIs" dxfId="38" priority="16" stopIfTrue="1" operator="equal">
      <formula>0</formula>
    </cfRule>
  </conditionalFormatting>
  <conditionalFormatting sqref="B18:E30">
    <cfRule type="expression" dxfId="37" priority="18" stopIfTrue="1">
      <formula>MOD(ROW(),2)=0</formula>
    </cfRule>
  </conditionalFormatting>
  <conditionalFormatting sqref="B36:E43">
    <cfRule type="expression" dxfId="36" priority="19" stopIfTrue="1">
      <formula>MOD(ROW(),2)=0</formula>
    </cfRule>
  </conditionalFormatting>
  <conditionalFormatting sqref="C13:E13">
    <cfRule type="expression" dxfId="35" priority="20" stopIfTrue="1">
      <formula>MOD(ROW(),2)=0</formula>
    </cfRule>
  </conditionalFormatting>
  <conditionalFormatting sqref="G55:L60">
    <cfRule type="cellIs" dxfId="34" priority="21" stopIfTrue="1" operator="equal">
      <formula>0</formula>
    </cfRule>
  </conditionalFormatting>
  <conditionalFormatting sqref="G15:L15">
    <cfRule type="cellIs" dxfId="33" priority="24" stopIfTrue="1" operator="equal">
      <formula>0</formula>
    </cfRule>
  </conditionalFormatting>
  <conditionalFormatting sqref="G40:L40">
    <cfRule type="cellIs" dxfId="32" priority="12" operator="greaterThan">
      <formula>0.25</formula>
    </cfRule>
  </conditionalFormatting>
  <conditionalFormatting sqref="D1">
    <cfRule type="expression" dxfId="31" priority="10" stopIfTrue="1">
      <formula>MOD(ROW(),2)=0</formula>
    </cfRule>
  </conditionalFormatting>
  <hyperlinks>
    <hyperlink ref="D1" location="HypLink1" display="HypLink1"/>
  </hyperlinks>
  <pageMargins left="0.25" right="0.25" top="0.5" bottom="0.45" header="0.25" footer="0.25"/>
  <pageSetup scale="56" fitToWidth="3" fitToHeight="2"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pageSetUpPr fitToPage="1"/>
  </sheetPr>
  <dimension ref="A1:Z98"/>
  <sheetViews>
    <sheetView topLeftCell="D1" zoomScaleNormal="100" workbookViewId="0">
      <selection activeCell="L11" sqref="L11"/>
    </sheetView>
  </sheetViews>
  <sheetFormatPr defaultColWidth="8.85546875" defaultRowHeight="15" outlineLevelRow="1"/>
  <cols>
    <col min="1" max="1" width="6.28515625" style="42" customWidth="1"/>
    <col min="2" max="2" width="40.42578125" style="42" customWidth="1"/>
    <col min="3" max="3" width="19.140625" style="42" customWidth="1"/>
    <col min="4" max="4" width="11.42578125" style="42" customWidth="1"/>
    <col min="5" max="5" width="17.7109375" style="46" customWidth="1"/>
    <col min="6" max="6" width="15.140625" style="46" bestFit="1" customWidth="1"/>
    <col min="7" max="10" width="16" style="42" bestFit="1" customWidth="1"/>
    <col min="11" max="11" width="13.85546875" style="42" bestFit="1" customWidth="1"/>
    <col min="12" max="12" width="15.7109375" style="42" bestFit="1" customWidth="1"/>
    <col min="13" max="13" width="7.28515625" style="42" customWidth="1"/>
    <col min="14" max="14" width="59.7109375" style="42" customWidth="1"/>
    <col min="15" max="15" width="8.85546875" style="42"/>
    <col min="16" max="16" width="9.42578125" style="42" customWidth="1"/>
    <col min="17" max="16384" width="8.85546875" style="42"/>
  </cols>
  <sheetData>
    <row r="1" spans="1:26" ht="15.75">
      <c r="A1" s="185" t="s">
        <v>98</v>
      </c>
      <c r="B1" s="512"/>
      <c r="D1" s="640" t="s">
        <v>2</v>
      </c>
      <c r="G1" s="1813" t="s">
        <v>666</v>
      </c>
      <c r="H1" s="1813"/>
      <c r="I1" s="1813"/>
      <c r="J1" s="100"/>
      <c r="K1" s="100"/>
      <c r="Z1" s="8"/>
    </row>
    <row r="2" spans="1:26" ht="15.75">
      <c r="A2" s="48" t="str">
        <f>SchoolName</f>
        <v>Strong Start Academy Elementary School</v>
      </c>
      <c r="B2" s="49"/>
      <c r="G2" s="1890" t="str">
        <f>+Cover!C18</f>
        <v xml:space="preserve">Downtown Las Vegas </v>
      </c>
      <c r="H2" s="1890"/>
      <c r="I2" s="1890"/>
      <c r="J2" s="1890"/>
      <c r="K2" s="1890"/>
      <c r="Z2" s="8"/>
    </row>
    <row r="3" spans="1:26">
      <c r="A3" s="50" t="s">
        <v>1</v>
      </c>
      <c r="G3" s="1891">
        <f>+Cover!C19</f>
        <v>0</v>
      </c>
      <c r="H3" s="1891"/>
      <c r="I3" s="1891"/>
      <c r="J3" s="1891"/>
      <c r="K3" s="1891"/>
      <c r="Z3" s="8"/>
    </row>
    <row r="4" spans="1:26">
      <c r="A4" s="38" t="str">
        <f ca="1">CELL("filename")</f>
        <v>C:\Users\rsaucedo\OneDrive - City of Las Vegas\CLV Charter School\[Strong Start Academy Elementary School Financial Workbook 2021.xlsx]Incubation</v>
      </c>
      <c r="Z4" s="8"/>
    </row>
    <row r="5" spans="1:26" ht="15.75" thickBot="1">
      <c r="Z5" s="8"/>
    </row>
    <row r="6" spans="1:26" s="39" customFormat="1" ht="14.25" outlineLevel="1">
      <c r="B6" s="1145" t="s">
        <v>667</v>
      </c>
      <c r="C6" s="1147"/>
      <c r="D6" s="1148"/>
      <c r="E6" s="40"/>
      <c r="F6" s="1101" t="str">
        <f>' Enrol &amp; Rev'!G9</f>
        <v>SY 0/Incu</v>
      </c>
      <c r="G6" s="1091">
        <f>' Enrol &amp; Rev'!H9</f>
        <v>1</v>
      </c>
      <c r="H6" s="1091">
        <f>' Enrol &amp; Rev'!I9</f>
        <v>2</v>
      </c>
      <c r="I6" s="1091">
        <f>' Enrol &amp; Rev'!J9</f>
        <v>3</v>
      </c>
      <c r="J6" s="1091">
        <f>' Enrol &amp; Rev'!K9</f>
        <v>4</v>
      </c>
      <c r="K6" s="1091">
        <f>' Enrol &amp; Rev'!L9</f>
        <v>5</v>
      </c>
      <c r="L6" s="1823">
        <f>' Enrol &amp; Rev'!M9</f>
        <v>6</v>
      </c>
      <c r="N6" s="1813" t="s">
        <v>84</v>
      </c>
      <c r="Z6" s="8"/>
    </row>
    <row r="7" spans="1:26" ht="15.75" outlineLevel="1" thickBot="1">
      <c r="B7" s="1146" t="s">
        <v>668</v>
      </c>
      <c r="C7" s="318" t="s">
        <v>669</v>
      </c>
      <c r="D7" s="1149"/>
      <c r="F7" s="1092">
        <f>+G7-1</f>
        <v>2021</v>
      </c>
      <c r="G7" s="1093">
        <f>' Enrol &amp; Rev'!H10</f>
        <v>2022</v>
      </c>
      <c r="H7" s="1093">
        <f>' Enrol &amp; Rev'!I10</f>
        <v>2023</v>
      </c>
      <c r="I7" s="1093">
        <f>' Enrol &amp; Rev'!J10</f>
        <v>2024</v>
      </c>
      <c r="J7" s="1093">
        <f>' Enrol &amp; Rev'!K10</f>
        <v>2025</v>
      </c>
      <c r="K7" s="1093">
        <f>' Enrol &amp; Rev'!L10</f>
        <v>2026</v>
      </c>
      <c r="L7" s="1094">
        <f>' Enrol &amp; Rev'!M10</f>
        <v>2027</v>
      </c>
      <c r="M7" s="52"/>
      <c r="N7" s="717"/>
    </row>
    <row r="8" spans="1:26" outlineLevel="1">
      <c r="C8" s="39"/>
      <c r="F8" s="1095">
        <f>+G8-1</f>
        <v>2022</v>
      </c>
      <c r="G8" s="1096">
        <f>' Enrol &amp; Rev'!H11</f>
        <v>2023</v>
      </c>
      <c r="H8" s="1096">
        <f>' Enrol &amp; Rev'!I11</f>
        <v>2024</v>
      </c>
      <c r="I8" s="1096">
        <f>' Enrol &amp; Rev'!J11</f>
        <v>2025</v>
      </c>
      <c r="J8" s="1096">
        <f>' Enrol &amp; Rev'!K11</f>
        <v>2026</v>
      </c>
      <c r="K8" s="1096">
        <f>' Enrol &amp; Rev'!L11</f>
        <v>2027</v>
      </c>
      <c r="L8" s="1097">
        <f>' Enrol &amp; Rev'!M11</f>
        <v>2028</v>
      </c>
      <c r="M8" s="52"/>
      <c r="N8" s="541"/>
    </row>
    <row r="9" spans="1:26" outlineLevel="1">
      <c r="A9" s="546">
        <f>ROW()</f>
        <v>9</v>
      </c>
      <c r="B9" s="395" t="s">
        <v>670</v>
      </c>
      <c r="C9" s="396"/>
      <c r="D9" s="396"/>
      <c r="E9" s="189"/>
      <c r="F9" s="1818" t="s">
        <v>420</v>
      </c>
      <c r="G9" s="979">
        <f>' Enrol &amp; Rev'!H34</f>
        <v>180</v>
      </c>
      <c r="H9" s="979">
        <f>' Enrol &amp; Rev'!I34</f>
        <v>240</v>
      </c>
      <c r="I9" s="979">
        <f>' Enrol &amp; Rev'!J34</f>
        <v>300</v>
      </c>
      <c r="J9" s="979">
        <f>' Enrol &amp; Rev'!K34</f>
        <v>360</v>
      </c>
      <c r="K9" s="979">
        <f>' Enrol &amp; Rev'!L34</f>
        <v>360</v>
      </c>
      <c r="L9" s="1843">
        <f>' Enrol &amp; Rev'!M34</f>
        <v>360</v>
      </c>
      <c r="M9" s="52"/>
      <c r="N9" s="541"/>
    </row>
    <row r="10" spans="1:26" outlineLevel="1">
      <c r="A10" s="546">
        <f>ROW()</f>
        <v>10</v>
      </c>
      <c r="B10" s="42" t="s">
        <v>671</v>
      </c>
      <c r="C10" s="39"/>
      <c r="F10" s="42"/>
      <c r="G10" s="785">
        <f>IFERROR(+G11/' Enrol &amp; Rev'!H34,0)</f>
        <v>88.833333333333329</v>
      </c>
      <c r="H10" s="785">
        <f>IFERROR(+H11/' Enrol &amp; Rev'!I34,0)</f>
        <v>72.875</v>
      </c>
      <c r="I10" s="785">
        <f>IFERROR(+I11/' Enrol &amp; Rev'!J34,0)</f>
        <v>63.3</v>
      </c>
      <c r="J10" s="785">
        <f>IFERROR(+J11/' Enrol &amp; Rev'!K34,0)</f>
        <v>56.916666666666664</v>
      </c>
      <c r="K10" s="785">
        <f>IFERROR(+K11/' Enrol &amp; Rev'!L34,0)</f>
        <v>56.916666666666664</v>
      </c>
      <c r="L10" s="785">
        <f>IFERROR(+L11/' Enrol &amp; Rev'!M34,0)</f>
        <v>56.916666666666664</v>
      </c>
      <c r="M10" s="52"/>
      <c r="N10" s="541"/>
    </row>
    <row r="11" spans="1:26" outlineLevel="1">
      <c r="A11" s="546">
        <f>ROW()</f>
        <v>11</v>
      </c>
      <c r="B11" s="42" t="s">
        <v>672</v>
      </c>
      <c r="F11" s="786"/>
      <c r="G11" s="786">
        <v>15990</v>
      </c>
      <c r="H11" s="786">
        <v>17490</v>
      </c>
      <c r="I11" s="786">
        <v>18990</v>
      </c>
      <c r="J11" s="786">
        <v>20490</v>
      </c>
      <c r="K11" s="786">
        <f>+J11</f>
        <v>20490</v>
      </c>
      <c r="L11" s="786">
        <f>+K11</f>
        <v>20490</v>
      </c>
      <c r="M11" s="52"/>
      <c r="N11" s="541" t="s">
        <v>1267</v>
      </c>
    </row>
    <row r="12" spans="1:26" outlineLevel="1">
      <c r="A12" s="546">
        <f>ROW()</f>
        <v>12</v>
      </c>
      <c r="B12" s="59" t="s">
        <v>673</v>
      </c>
      <c r="F12" s="1469"/>
      <c r="G12" s="1469">
        <v>0.84</v>
      </c>
      <c r="H12" s="1469">
        <v>0.84</v>
      </c>
      <c r="I12" s="1469">
        <v>0.84</v>
      </c>
      <c r="J12" s="1469">
        <v>0.84</v>
      </c>
      <c r="K12" s="1469">
        <v>0.84</v>
      </c>
      <c r="L12" s="1469">
        <v>0.84</v>
      </c>
      <c r="M12" s="52"/>
      <c r="N12" s="541"/>
    </row>
    <row r="13" spans="1:26" outlineLevel="1">
      <c r="A13" s="546">
        <f>ROW()</f>
        <v>13</v>
      </c>
      <c r="B13" s="59" t="s">
        <v>674</v>
      </c>
      <c r="F13" s="788">
        <f>+F12*12</f>
        <v>0</v>
      </c>
      <c r="G13" s="788">
        <f>+G12*12</f>
        <v>10.08</v>
      </c>
      <c r="H13" s="788">
        <f t="shared" ref="H13:L15" si="0">+H12*12</f>
        <v>10.08</v>
      </c>
      <c r="I13" s="788">
        <f t="shared" si="0"/>
        <v>10.08</v>
      </c>
      <c r="J13" s="788">
        <f t="shared" si="0"/>
        <v>10.08</v>
      </c>
      <c r="K13" s="788">
        <f t="shared" si="0"/>
        <v>10.08</v>
      </c>
      <c r="L13" s="788">
        <f t="shared" si="0"/>
        <v>10.08</v>
      </c>
      <c r="M13" s="52"/>
      <c r="N13" s="541"/>
    </row>
    <row r="14" spans="1:26" outlineLevel="1">
      <c r="A14" s="546">
        <f>ROW()</f>
        <v>14</v>
      </c>
      <c r="B14" s="59" t="s">
        <v>675</v>
      </c>
      <c r="C14" s="362"/>
      <c r="F14" s="787"/>
      <c r="G14" s="787">
        <v>0.84</v>
      </c>
      <c r="H14" s="787">
        <v>0.84</v>
      </c>
      <c r="I14" s="787">
        <v>0.84</v>
      </c>
      <c r="J14" s="787">
        <v>0.84</v>
      </c>
      <c r="K14" s="787">
        <v>0.84</v>
      </c>
      <c r="L14" s="787">
        <v>0.84</v>
      </c>
      <c r="M14" s="52"/>
      <c r="N14" s="541"/>
    </row>
    <row r="15" spans="1:26" outlineLevel="1">
      <c r="A15" s="546">
        <f>ROW()</f>
        <v>15</v>
      </c>
      <c r="B15" s="59" t="s">
        <v>676</v>
      </c>
      <c r="C15" s="362"/>
      <c r="F15" s="788">
        <f>+F14*12</f>
        <v>0</v>
      </c>
      <c r="G15" s="788">
        <f>+G14*12</f>
        <v>10.08</v>
      </c>
      <c r="H15" s="788">
        <f t="shared" si="0"/>
        <v>10.08</v>
      </c>
      <c r="I15" s="788">
        <f t="shared" si="0"/>
        <v>10.08</v>
      </c>
      <c r="J15" s="788">
        <f t="shared" si="0"/>
        <v>10.08</v>
      </c>
      <c r="K15" s="788">
        <f t="shared" si="0"/>
        <v>10.08</v>
      </c>
      <c r="L15" s="788">
        <f t="shared" si="0"/>
        <v>10.08</v>
      </c>
      <c r="M15" s="52"/>
      <c r="N15" s="541"/>
    </row>
    <row r="16" spans="1:26" outlineLevel="1">
      <c r="A16" s="546">
        <f>ROW()</f>
        <v>16</v>
      </c>
      <c r="B16" s="59"/>
      <c r="F16" s="788"/>
      <c r="G16" s="788"/>
      <c r="H16" s="788"/>
      <c r="I16" s="788"/>
      <c r="J16" s="788"/>
      <c r="K16" s="788"/>
      <c r="L16" s="788"/>
      <c r="M16" s="52"/>
      <c r="N16" s="541"/>
    </row>
    <row r="17" spans="1:14" outlineLevel="1">
      <c r="A17" s="546">
        <f>ROW()</f>
        <v>17</v>
      </c>
      <c r="B17" s="54" t="s">
        <v>677</v>
      </c>
      <c r="F17" s="1470"/>
      <c r="G17" s="1470"/>
      <c r="H17" s="789">
        <v>0.03</v>
      </c>
      <c r="I17" s="789">
        <v>0.03</v>
      </c>
      <c r="J17" s="789">
        <v>0.03</v>
      </c>
      <c r="K17" s="789">
        <v>0.03</v>
      </c>
      <c r="L17" s="789">
        <v>0.03</v>
      </c>
      <c r="M17" s="52"/>
      <c r="N17" s="541"/>
    </row>
    <row r="18" spans="1:14" outlineLevel="1">
      <c r="A18" s="546">
        <f>ROW()</f>
        <v>18</v>
      </c>
      <c r="B18" s="54" t="s">
        <v>678</v>
      </c>
      <c r="F18" s="790">
        <f t="shared" ref="F18:L18" si="1">+F19/12</f>
        <v>0</v>
      </c>
      <c r="G18" s="790">
        <f t="shared" si="1"/>
        <v>0.84</v>
      </c>
      <c r="H18" s="790">
        <f t="shared" si="1"/>
        <v>0.86520000000000008</v>
      </c>
      <c r="I18" s="790">
        <f t="shared" si="1"/>
        <v>0.89115600000000006</v>
      </c>
      <c r="J18" s="790">
        <f t="shared" si="1"/>
        <v>0.91789068000000007</v>
      </c>
      <c r="K18" s="790">
        <f t="shared" si="1"/>
        <v>0.94542740039999995</v>
      </c>
      <c r="L18" s="790">
        <f t="shared" si="1"/>
        <v>0.97379022241200008</v>
      </c>
      <c r="M18" s="52"/>
      <c r="N18" s="541"/>
    </row>
    <row r="19" spans="1:14" outlineLevel="1">
      <c r="A19" s="546">
        <f>ROW()</f>
        <v>19</v>
      </c>
      <c r="B19" s="54" t="s">
        <v>679</v>
      </c>
      <c r="F19" s="788">
        <f>+F15*(1+F17)</f>
        <v>0</v>
      </c>
      <c r="G19" s="788">
        <f>+G15*(1+G17)</f>
        <v>10.08</v>
      </c>
      <c r="H19" s="788">
        <f>+G19*(1+H17)</f>
        <v>10.382400000000001</v>
      </c>
      <c r="I19" s="788">
        <f>+H19*(1+I17)</f>
        <v>10.693872000000001</v>
      </c>
      <c r="J19" s="788">
        <f>+I19*(1+J17)</f>
        <v>11.01468816</v>
      </c>
      <c r="K19" s="788">
        <f>+J19*(1+K17)</f>
        <v>11.3451288048</v>
      </c>
      <c r="L19" s="788">
        <f>+K19*(1+L17)</f>
        <v>11.685482668944001</v>
      </c>
      <c r="M19" s="52"/>
      <c r="N19" s="541"/>
    </row>
    <row r="20" spans="1:14" outlineLevel="1">
      <c r="A20" s="546">
        <f>ROW()</f>
        <v>20</v>
      </c>
      <c r="B20" s="39"/>
      <c r="E20" s="42"/>
      <c r="F20" s="42"/>
      <c r="G20" s="781"/>
      <c r="H20" s="781"/>
      <c r="I20" s="781"/>
      <c r="J20" s="781"/>
      <c r="K20" s="781"/>
      <c r="L20" s="781"/>
      <c r="M20" s="52"/>
      <c r="N20" s="541"/>
    </row>
    <row r="21" spans="1:14" outlineLevel="1">
      <c r="A21" s="546">
        <f>ROW()</f>
        <v>21</v>
      </c>
      <c r="B21" s="1383" t="s">
        <v>680</v>
      </c>
      <c r="C21" s="265" t="s">
        <v>681</v>
      </c>
      <c r="D21" s="266"/>
      <c r="E21" s="550">
        <f t="shared" ref="E21:E35" si="2">SUM(F21:L21)</f>
        <v>1243432.1947754147</v>
      </c>
      <c r="F21" s="1471">
        <f t="shared" ref="F21:L21" si="3">F11*(F19)</f>
        <v>0</v>
      </c>
      <c r="G21" s="551">
        <f t="shared" si="3"/>
        <v>161179.20000000001</v>
      </c>
      <c r="H21" s="552">
        <f t="shared" si="3"/>
        <v>181588.17600000001</v>
      </c>
      <c r="I21" s="552">
        <f t="shared" si="3"/>
        <v>203076.62928000002</v>
      </c>
      <c r="J21" s="552">
        <f t="shared" si="3"/>
        <v>225690.9603984</v>
      </c>
      <c r="K21" s="552">
        <f t="shared" si="3"/>
        <v>232461.68921035199</v>
      </c>
      <c r="L21" s="552">
        <f t="shared" si="3"/>
        <v>239435.53988666259</v>
      </c>
      <c r="M21" s="52"/>
      <c r="N21" s="541"/>
    </row>
    <row r="22" spans="1:14" outlineLevel="1">
      <c r="A22" s="546">
        <f>ROW()</f>
        <v>22</v>
      </c>
      <c r="B22" s="981"/>
      <c r="C22" s="362"/>
      <c r="D22" s="73"/>
      <c r="E22" s="982"/>
      <c r="F22" s="982"/>
      <c r="G22" s="875"/>
      <c r="H22" s="983"/>
      <c r="I22" s="983"/>
      <c r="J22" s="983"/>
      <c r="K22" s="983"/>
      <c r="L22" s="983"/>
      <c r="M22" s="52"/>
      <c r="N22" s="541"/>
    </row>
    <row r="23" spans="1:14" outlineLevel="1">
      <c r="A23" s="546">
        <f>ROW()</f>
        <v>23</v>
      </c>
      <c r="B23" s="42" t="s">
        <v>682</v>
      </c>
      <c r="C23" s="1240">
        <v>0.7</v>
      </c>
      <c r="D23" s="140" t="s">
        <v>683</v>
      </c>
      <c r="E23" s="260">
        <f t="shared" si="2"/>
        <v>79758</v>
      </c>
      <c r="F23" s="453"/>
      <c r="G23" s="991">
        <f>G$11*$C23</f>
        <v>11193</v>
      </c>
      <c r="H23" s="991">
        <f t="shared" ref="H23:L23" si="4">H$11*$C23</f>
        <v>12243</v>
      </c>
      <c r="I23" s="991">
        <f t="shared" si="4"/>
        <v>13293</v>
      </c>
      <c r="J23" s="991">
        <f t="shared" si="4"/>
        <v>14343</v>
      </c>
      <c r="K23" s="991">
        <f t="shared" si="4"/>
        <v>14343</v>
      </c>
      <c r="L23" s="991">
        <f t="shared" si="4"/>
        <v>14343</v>
      </c>
      <c r="M23" s="52"/>
      <c r="N23" s="541"/>
    </row>
    <row r="24" spans="1:14" outlineLevel="1">
      <c r="A24" s="546">
        <f>ROW()</f>
        <v>24</v>
      </c>
      <c r="B24" s="42" t="s">
        <v>684</v>
      </c>
      <c r="C24" s="1241">
        <v>3.69</v>
      </c>
      <c r="D24" s="140" t="s">
        <v>683</v>
      </c>
      <c r="E24" s="260">
        <f t="shared" si="2"/>
        <v>420438.6</v>
      </c>
      <c r="F24" s="453">
        <v>0</v>
      </c>
      <c r="G24" s="992">
        <f t="shared" ref="G24:L24" si="5">G11*$C$24</f>
        <v>59003.1</v>
      </c>
      <c r="H24" s="992">
        <f t="shared" si="5"/>
        <v>64538.1</v>
      </c>
      <c r="I24" s="992">
        <f t="shared" si="5"/>
        <v>70073.100000000006</v>
      </c>
      <c r="J24" s="992">
        <f t="shared" si="5"/>
        <v>75608.100000000006</v>
      </c>
      <c r="K24" s="992">
        <f t="shared" si="5"/>
        <v>75608.100000000006</v>
      </c>
      <c r="L24" s="992">
        <f t="shared" si="5"/>
        <v>75608.100000000006</v>
      </c>
      <c r="M24" s="56"/>
      <c r="N24" s="541"/>
    </row>
    <row r="25" spans="1:14" outlineLevel="1">
      <c r="A25" s="546">
        <f>ROW()</f>
        <v>25</v>
      </c>
      <c r="B25" s="42" t="s">
        <v>685</v>
      </c>
      <c r="C25" s="1240"/>
      <c r="D25" s="140" t="s">
        <v>683</v>
      </c>
      <c r="E25" s="260">
        <f t="shared" si="2"/>
        <v>0</v>
      </c>
      <c r="F25" s="453"/>
      <c r="G25" s="992">
        <f t="shared" ref="G25:L25" si="6">G11*$C25</f>
        <v>0</v>
      </c>
      <c r="H25" s="992">
        <f t="shared" si="6"/>
        <v>0</v>
      </c>
      <c r="I25" s="992">
        <f t="shared" si="6"/>
        <v>0</v>
      </c>
      <c r="J25" s="992">
        <f t="shared" si="6"/>
        <v>0</v>
      </c>
      <c r="K25" s="992">
        <f t="shared" si="6"/>
        <v>0</v>
      </c>
      <c r="L25" s="992">
        <f t="shared" si="6"/>
        <v>0</v>
      </c>
      <c r="M25" s="52"/>
      <c r="N25" s="541" t="s">
        <v>1268</v>
      </c>
    </row>
    <row r="26" spans="1:14" outlineLevel="1">
      <c r="A26" s="546">
        <f>ROW()</f>
        <v>26</v>
      </c>
      <c r="B26" s="42" t="s">
        <v>686</v>
      </c>
      <c r="C26" s="1240">
        <v>956</v>
      </c>
      <c r="D26" s="140" t="s">
        <v>687</v>
      </c>
      <c r="E26" s="260">
        <f t="shared" si="2"/>
        <v>5736</v>
      </c>
      <c r="F26" s="453"/>
      <c r="G26" s="992">
        <f t="shared" ref="G26" si="7">+C26</f>
        <v>956</v>
      </c>
      <c r="H26" s="992">
        <f t="shared" ref="H26:L27" si="8">+G26</f>
        <v>956</v>
      </c>
      <c r="I26" s="992">
        <f t="shared" si="8"/>
        <v>956</v>
      </c>
      <c r="J26" s="992">
        <f t="shared" si="8"/>
        <v>956</v>
      </c>
      <c r="K26" s="992">
        <f t="shared" si="8"/>
        <v>956</v>
      </c>
      <c r="L26" s="992">
        <f t="shared" si="8"/>
        <v>956</v>
      </c>
      <c r="M26" s="52"/>
      <c r="N26" s="541" t="s">
        <v>1269</v>
      </c>
    </row>
    <row r="27" spans="1:14" outlineLevel="1">
      <c r="A27" s="546">
        <f>ROW()</f>
        <v>27</v>
      </c>
      <c r="B27" s="42" t="s">
        <v>688</v>
      </c>
      <c r="C27" s="1240"/>
      <c r="D27" s="140" t="s">
        <v>687</v>
      </c>
      <c r="E27" s="260">
        <f t="shared" si="2"/>
        <v>0</v>
      </c>
      <c r="F27" s="453"/>
      <c r="G27" s="992">
        <f t="shared" ref="G27" si="9">+C27</f>
        <v>0</v>
      </c>
      <c r="H27" s="992">
        <f t="shared" si="8"/>
        <v>0</v>
      </c>
      <c r="I27" s="992">
        <f t="shared" si="8"/>
        <v>0</v>
      </c>
      <c r="J27" s="992">
        <f t="shared" si="8"/>
        <v>0</v>
      </c>
      <c r="K27" s="992">
        <f t="shared" si="8"/>
        <v>0</v>
      </c>
      <c r="L27" s="992">
        <f t="shared" si="8"/>
        <v>0</v>
      </c>
      <c r="M27" s="52"/>
      <c r="N27" s="541"/>
    </row>
    <row r="28" spans="1:14" outlineLevel="1">
      <c r="A28" s="546">
        <f>ROW()</f>
        <v>28</v>
      </c>
      <c r="B28" s="42" t="s">
        <v>689</v>
      </c>
      <c r="C28" s="1240"/>
      <c r="D28" s="140" t="s">
        <v>683</v>
      </c>
      <c r="E28" s="260">
        <f t="shared" ref="E28" si="10">SUM(F28:L28)</f>
        <v>0</v>
      </c>
      <c r="F28" s="453"/>
      <c r="G28" s="992">
        <f>G$11*$C28</f>
        <v>0</v>
      </c>
      <c r="H28" s="992">
        <f t="shared" ref="H28:L30" si="11">H$11*$C28</f>
        <v>0</v>
      </c>
      <c r="I28" s="992">
        <f t="shared" si="11"/>
        <v>0</v>
      </c>
      <c r="J28" s="992">
        <f t="shared" si="11"/>
        <v>0</v>
      </c>
      <c r="K28" s="992">
        <f t="shared" si="11"/>
        <v>0</v>
      </c>
      <c r="L28" s="992">
        <f t="shared" si="11"/>
        <v>0</v>
      </c>
      <c r="M28" s="52"/>
      <c r="N28" s="541"/>
    </row>
    <row r="29" spans="1:14" outlineLevel="1">
      <c r="A29" s="546">
        <f>ROW()</f>
        <v>29</v>
      </c>
      <c r="B29" s="42" t="s">
        <v>690</v>
      </c>
      <c r="C29" s="1240"/>
      <c r="D29" s="140" t="s">
        <v>683</v>
      </c>
      <c r="E29" s="260">
        <f t="shared" ref="E29" si="12">SUM(F29:L29)</f>
        <v>0</v>
      </c>
      <c r="F29" s="453"/>
      <c r="G29" s="992">
        <f>G$11*$C29</f>
        <v>0</v>
      </c>
      <c r="H29" s="992">
        <f t="shared" si="11"/>
        <v>0</v>
      </c>
      <c r="I29" s="992">
        <f t="shared" si="11"/>
        <v>0</v>
      </c>
      <c r="J29" s="992">
        <f t="shared" si="11"/>
        <v>0</v>
      </c>
      <c r="K29" s="992">
        <f t="shared" si="11"/>
        <v>0</v>
      </c>
      <c r="L29" s="992">
        <f t="shared" si="11"/>
        <v>0</v>
      </c>
      <c r="M29" s="52"/>
      <c r="N29" s="541"/>
    </row>
    <row r="30" spans="1:14" outlineLevel="1">
      <c r="A30" s="546">
        <f>ROW()</f>
        <v>30</v>
      </c>
      <c r="B30" s="42" t="s">
        <v>691</v>
      </c>
      <c r="C30" s="1240"/>
      <c r="D30" s="140" t="s">
        <v>683</v>
      </c>
      <c r="E30" s="260">
        <f t="shared" ref="E30" si="13">SUM(F30:L30)</f>
        <v>0</v>
      </c>
      <c r="F30" s="984"/>
      <c r="G30" s="993">
        <f>G$11*$C30</f>
        <v>0</v>
      </c>
      <c r="H30" s="993">
        <f t="shared" si="11"/>
        <v>0</v>
      </c>
      <c r="I30" s="993">
        <f t="shared" si="11"/>
        <v>0</v>
      </c>
      <c r="J30" s="993">
        <f t="shared" si="11"/>
        <v>0</v>
      </c>
      <c r="K30" s="993">
        <f t="shared" si="11"/>
        <v>0</v>
      </c>
      <c r="L30" s="993">
        <f t="shared" si="11"/>
        <v>0</v>
      </c>
      <c r="M30" s="52"/>
      <c r="N30" s="541"/>
    </row>
    <row r="31" spans="1:14" outlineLevel="1">
      <c r="A31" s="546">
        <f>ROW()</f>
        <v>31</v>
      </c>
      <c r="B31" s="266" t="s">
        <v>692</v>
      </c>
      <c r="C31" s="985">
        <v>0</v>
      </c>
      <c r="D31" s="986" t="s">
        <v>693</v>
      </c>
      <c r="E31" s="987">
        <f t="shared" si="2"/>
        <v>505932.6</v>
      </c>
      <c r="F31" s="988"/>
      <c r="G31" s="980">
        <f>SUM(G23:G30)*((1+$C$31)^G6)</f>
        <v>71152.100000000006</v>
      </c>
      <c r="H31" s="1065">
        <f t="shared" ref="H31:L31" si="14">SUM(H23:H30)*((1+$C$31)^H6)</f>
        <v>77737.100000000006</v>
      </c>
      <c r="I31" s="1065">
        <f t="shared" si="14"/>
        <v>84322.1</v>
      </c>
      <c r="J31" s="1065">
        <f t="shared" si="14"/>
        <v>90907.1</v>
      </c>
      <c r="K31" s="1065">
        <f t="shared" si="14"/>
        <v>90907.1</v>
      </c>
      <c r="L31" s="1065">
        <f t="shared" si="14"/>
        <v>90907.1</v>
      </c>
      <c r="M31" s="52"/>
      <c r="N31" s="541"/>
    </row>
    <row r="32" spans="1:14" outlineLevel="1">
      <c r="A32" s="546">
        <f>ROW()</f>
        <v>32</v>
      </c>
      <c r="B32" s="59" t="s">
        <v>694</v>
      </c>
      <c r="C32" s="1240">
        <v>0</v>
      </c>
      <c r="D32" s="80" t="s">
        <v>695</v>
      </c>
      <c r="E32" s="260">
        <f t="shared" si="2"/>
        <v>0</v>
      </c>
      <c r="F32" s="453">
        <v>0</v>
      </c>
      <c r="G32" s="453">
        <f>+C32</f>
        <v>0</v>
      </c>
      <c r="H32" s="992"/>
      <c r="I32" s="992"/>
      <c r="J32" s="992"/>
      <c r="K32" s="992"/>
      <c r="L32" s="992"/>
      <c r="M32" s="52"/>
      <c r="N32" s="541"/>
    </row>
    <row r="33" spans="1:14" outlineLevel="1">
      <c r="A33" s="546">
        <f>ROW()</f>
        <v>33</v>
      </c>
      <c r="B33" s="408" t="s">
        <v>696</v>
      </c>
      <c r="C33" s="779"/>
      <c r="E33" s="260">
        <f t="shared" si="2"/>
        <v>0</v>
      </c>
      <c r="F33" s="453">
        <v>0</v>
      </c>
      <c r="G33" s="453">
        <v>0</v>
      </c>
      <c r="H33" s="992"/>
      <c r="I33" s="992"/>
      <c r="J33" s="992"/>
      <c r="K33" s="992"/>
      <c r="L33" s="992"/>
      <c r="M33" s="52"/>
      <c r="N33" s="541"/>
    </row>
    <row r="34" spans="1:14" outlineLevel="1">
      <c r="A34" s="546">
        <f>ROW()</f>
        <v>34</v>
      </c>
      <c r="B34" s="408" t="s">
        <v>697</v>
      </c>
      <c r="C34" s="58"/>
      <c r="E34" s="260">
        <f t="shared" si="2"/>
        <v>0</v>
      </c>
      <c r="F34" s="454">
        <f>F33/15</f>
        <v>0</v>
      </c>
      <c r="G34" s="454">
        <f t="shared" ref="G34:L34" si="15">F34+(G33/15)</f>
        <v>0</v>
      </c>
      <c r="H34" s="455">
        <f t="shared" si="15"/>
        <v>0</v>
      </c>
      <c r="I34" s="455">
        <f t="shared" si="15"/>
        <v>0</v>
      </c>
      <c r="J34" s="455">
        <f t="shared" si="15"/>
        <v>0</v>
      </c>
      <c r="K34" s="455">
        <f t="shared" si="15"/>
        <v>0</v>
      </c>
      <c r="L34" s="455">
        <f t="shared" si="15"/>
        <v>0</v>
      </c>
      <c r="M34" s="52"/>
      <c r="N34" s="541"/>
    </row>
    <row r="35" spans="1:14" outlineLevel="1">
      <c r="A35" s="546">
        <f>ROW()</f>
        <v>35</v>
      </c>
      <c r="B35" s="989" t="s">
        <v>698</v>
      </c>
      <c r="C35" s="266"/>
      <c r="D35" s="266"/>
      <c r="E35" s="990">
        <f t="shared" si="2"/>
        <v>1749364.7947754145</v>
      </c>
      <c r="F35" s="1844">
        <f t="shared" ref="F35" si="16">SUM(F21,F31,F32,F33)</f>
        <v>0</v>
      </c>
      <c r="G35" s="1844">
        <f>SUM(G21,G31,G32,G33)</f>
        <v>232331.30000000002</v>
      </c>
      <c r="H35" s="1844">
        <f t="shared" ref="H35:L35" si="17">SUM(H21,H31,H32,H33)</f>
        <v>259325.27600000001</v>
      </c>
      <c r="I35" s="1844">
        <f t="shared" si="17"/>
        <v>287398.72928000003</v>
      </c>
      <c r="J35" s="1844">
        <f t="shared" si="17"/>
        <v>316598.0603984</v>
      </c>
      <c r="K35" s="1844">
        <f t="shared" si="17"/>
        <v>323368.789210352</v>
      </c>
      <c r="L35" s="1844">
        <f t="shared" si="17"/>
        <v>330342.6398866626</v>
      </c>
      <c r="M35" s="52"/>
      <c r="N35" s="541"/>
    </row>
    <row r="36" spans="1:14" outlineLevel="1">
      <c r="A36" s="546">
        <f>ROW()</f>
        <v>36</v>
      </c>
      <c r="B36" s="60" t="s">
        <v>699</v>
      </c>
      <c r="E36" s="39"/>
      <c r="F36" s="1117">
        <f t="shared" ref="F36" si="18">SUM(F21,F31)+F34</f>
        <v>0</v>
      </c>
      <c r="G36" s="1117">
        <f>SUM(G21,G31)+G34</f>
        <v>232331.30000000002</v>
      </c>
      <c r="H36" s="1117">
        <f t="shared" ref="H36:L36" si="19">SUM(H21,H31)+H34</f>
        <v>259325.27600000001</v>
      </c>
      <c r="I36" s="1117">
        <f t="shared" si="19"/>
        <v>287398.72928000003</v>
      </c>
      <c r="J36" s="1117">
        <f t="shared" si="19"/>
        <v>316598.0603984</v>
      </c>
      <c r="K36" s="1117">
        <f t="shared" si="19"/>
        <v>323368.789210352</v>
      </c>
      <c r="L36" s="1117">
        <f t="shared" si="19"/>
        <v>330342.6398866626</v>
      </c>
      <c r="M36" s="52"/>
      <c r="N36" s="541"/>
    </row>
    <row r="37" spans="1:14" s="39" customFormat="1" outlineLevel="1">
      <c r="A37" s="546">
        <f>ROW()</f>
        <v>37</v>
      </c>
      <c r="B37" s="712" t="s">
        <v>700</v>
      </c>
      <c r="F37" s="393">
        <f>+F36-F35</f>
        <v>0</v>
      </c>
      <c r="G37" s="393">
        <f>+G36-G35</f>
        <v>0</v>
      </c>
      <c r="H37" s="393">
        <f t="shared" ref="H37:L37" si="20">+H36-H35</f>
        <v>0</v>
      </c>
      <c r="I37" s="393">
        <f t="shared" si="20"/>
        <v>0</v>
      </c>
      <c r="J37" s="393">
        <f t="shared" si="20"/>
        <v>0</v>
      </c>
      <c r="K37" s="393">
        <f t="shared" si="20"/>
        <v>0</v>
      </c>
      <c r="L37" s="393">
        <f t="shared" si="20"/>
        <v>0</v>
      </c>
      <c r="M37" s="61"/>
      <c r="N37" s="541"/>
    </row>
    <row r="38" spans="1:14" s="39" customFormat="1" outlineLevel="1">
      <c r="A38" s="546">
        <f>ROW()</f>
        <v>38</v>
      </c>
      <c r="B38" s="86"/>
      <c r="C38" s="86"/>
      <c r="D38" s="86"/>
      <c r="E38" s="86"/>
      <c r="F38" s="222"/>
      <c r="G38" s="222"/>
      <c r="H38" s="222"/>
      <c r="I38" s="222"/>
      <c r="J38" s="222"/>
      <c r="K38" s="222"/>
      <c r="L38" s="222"/>
      <c r="M38" s="61"/>
      <c r="N38" s="541"/>
    </row>
    <row r="39" spans="1:14" s="39" customFormat="1" outlineLevel="1">
      <c r="A39" s="546">
        <f>ROW()</f>
        <v>39</v>
      </c>
      <c r="B39" s="713" t="s">
        <v>701</v>
      </c>
      <c r="C39" s="42"/>
      <c r="D39" s="42"/>
      <c r="E39" s="46"/>
      <c r="F39" s="42"/>
      <c r="G39" s="75">
        <f t="shared" ref="G39:L39" si="21">+G21/12</f>
        <v>13431.6</v>
      </c>
      <c r="H39" s="75">
        <f t="shared" si="21"/>
        <v>15132.348</v>
      </c>
      <c r="I39" s="75">
        <f t="shared" si="21"/>
        <v>16923.052440000003</v>
      </c>
      <c r="J39" s="75">
        <f t="shared" si="21"/>
        <v>18807.5800332</v>
      </c>
      <c r="K39" s="75">
        <f t="shared" si="21"/>
        <v>19371.807434195998</v>
      </c>
      <c r="L39" s="75">
        <f t="shared" si="21"/>
        <v>19952.961657221884</v>
      </c>
      <c r="M39" s="61"/>
      <c r="N39" s="541"/>
    </row>
    <row r="40" spans="1:14" s="39" customFormat="1" outlineLevel="1">
      <c r="A40" s="546">
        <f>ROW()</f>
        <v>40</v>
      </c>
      <c r="B40" s="55" t="s">
        <v>702</v>
      </c>
      <c r="C40" s="42"/>
      <c r="D40" s="42"/>
      <c r="E40" s="46"/>
      <c r="F40" s="42"/>
      <c r="G40" s="66">
        <f t="shared" ref="G40:L42" si="22">+G23/12</f>
        <v>932.75</v>
      </c>
      <c r="H40" s="66">
        <f t="shared" si="22"/>
        <v>1020.25</v>
      </c>
      <c r="I40" s="66">
        <f t="shared" si="22"/>
        <v>1107.75</v>
      </c>
      <c r="J40" s="66">
        <f t="shared" si="22"/>
        <v>1195.25</v>
      </c>
      <c r="K40" s="66">
        <f t="shared" si="22"/>
        <v>1195.25</v>
      </c>
      <c r="L40" s="66">
        <f t="shared" si="22"/>
        <v>1195.25</v>
      </c>
      <c r="M40" s="61"/>
      <c r="N40" s="541"/>
    </row>
    <row r="41" spans="1:14" s="39" customFormat="1" outlineLevel="1">
      <c r="A41" s="546">
        <f>ROW()</f>
        <v>41</v>
      </c>
      <c r="B41" s="55" t="s">
        <v>703</v>
      </c>
      <c r="C41" s="42"/>
      <c r="D41" s="42"/>
      <c r="E41" s="46"/>
      <c r="F41" s="42"/>
      <c r="G41" s="66">
        <f t="shared" si="22"/>
        <v>4916.9250000000002</v>
      </c>
      <c r="H41" s="66">
        <f t="shared" si="22"/>
        <v>5378.1750000000002</v>
      </c>
      <c r="I41" s="66">
        <f t="shared" si="22"/>
        <v>5839.4250000000002</v>
      </c>
      <c r="J41" s="66">
        <f t="shared" si="22"/>
        <v>6300.6750000000002</v>
      </c>
      <c r="K41" s="66">
        <f t="shared" si="22"/>
        <v>6300.6750000000002</v>
      </c>
      <c r="L41" s="66">
        <f t="shared" si="22"/>
        <v>6300.6750000000002</v>
      </c>
      <c r="M41" s="61"/>
      <c r="N41" s="541"/>
    </row>
    <row r="42" spans="1:14" s="39" customFormat="1" outlineLevel="1">
      <c r="A42" s="546">
        <f>ROW()</f>
        <v>42</v>
      </c>
      <c r="B42" s="55" t="s">
        <v>704</v>
      </c>
      <c r="C42" s="42"/>
      <c r="D42" s="42"/>
      <c r="E42" s="46"/>
      <c r="F42" s="42"/>
      <c r="G42" s="66">
        <f t="shared" si="22"/>
        <v>0</v>
      </c>
      <c r="H42" s="66">
        <f t="shared" si="22"/>
        <v>0</v>
      </c>
      <c r="I42" s="66">
        <f t="shared" si="22"/>
        <v>0</v>
      </c>
      <c r="J42" s="66">
        <f t="shared" si="22"/>
        <v>0</v>
      </c>
      <c r="K42" s="66">
        <f t="shared" si="22"/>
        <v>0</v>
      </c>
      <c r="L42" s="66">
        <f t="shared" si="22"/>
        <v>0</v>
      </c>
      <c r="M42" s="61"/>
      <c r="N42" s="541"/>
    </row>
    <row r="43" spans="1:14" s="39" customFormat="1" outlineLevel="1">
      <c r="A43" s="546">
        <f>ROW()</f>
        <v>43</v>
      </c>
      <c r="B43" s="55" t="s">
        <v>686</v>
      </c>
      <c r="C43" s="42"/>
      <c r="D43" s="42"/>
      <c r="E43" s="42"/>
      <c r="F43" s="42"/>
      <c r="G43" s="66">
        <f t="shared" ref="G43:L43" si="23">+G27/12</f>
        <v>0</v>
      </c>
      <c r="H43" s="66">
        <f t="shared" si="23"/>
        <v>0</v>
      </c>
      <c r="I43" s="66">
        <f t="shared" si="23"/>
        <v>0</v>
      </c>
      <c r="J43" s="66">
        <f t="shared" si="23"/>
        <v>0</v>
      </c>
      <c r="K43" s="66">
        <f t="shared" si="23"/>
        <v>0</v>
      </c>
      <c r="L43" s="66">
        <f t="shared" si="23"/>
        <v>0</v>
      </c>
      <c r="M43" s="61"/>
      <c r="N43" s="541"/>
    </row>
    <row r="44" spans="1:14" s="39" customFormat="1" outlineLevel="1">
      <c r="A44" s="546">
        <f>ROW()</f>
        <v>44</v>
      </c>
      <c r="M44" s="61"/>
      <c r="N44" s="541"/>
    </row>
    <row r="45" spans="1:14" s="39" customFormat="1" outlineLevel="1">
      <c r="A45" s="546">
        <f>ROW()</f>
        <v>45</v>
      </c>
      <c r="B45" s="58" t="s">
        <v>705</v>
      </c>
      <c r="C45" s="40" t="s">
        <v>706</v>
      </c>
      <c r="G45" s="62"/>
      <c r="H45" s="62"/>
      <c r="I45" s="62"/>
      <c r="J45" s="62"/>
      <c r="K45" s="62"/>
      <c r="L45" s="62"/>
      <c r="M45" s="61"/>
      <c r="N45" s="541"/>
    </row>
    <row r="46" spans="1:14" s="39" customFormat="1" outlineLevel="1">
      <c r="A46" s="546">
        <f>ROW()</f>
        <v>46</v>
      </c>
      <c r="B46" s="60" t="s">
        <v>707</v>
      </c>
      <c r="C46" s="40"/>
      <c r="G46" s="62"/>
      <c r="H46" s="62"/>
      <c r="I46" s="62"/>
      <c r="J46" s="62"/>
      <c r="K46" s="62"/>
      <c r="L46" s="62"/>
      <c r="M46" s="61"/>
      <c r="N46" s="541"/>
    </row>
    <row r="47" spans="1:14" s="39" customFormat="1" outlineLevel="1">
      <c r="A47" s="546">
        <f>ROW()</f>
        <v>47</v>
      </c>
      <c r="B47" s="60"/>
      <c r="C47" s="40"/>
      <c r="G47" s="62"/>
      <c r="H47" s="62"/>
      <c r="I47" s="62"/>
      <c r="J47" s="62"/>
      <c r="K47" s="62"/>
      <c r="L47" s="62"/>
      <c r="M47" s="61"/>
      <c r="N47" s="541"/>
    </row>
    <row r="48" spans="1:14" ht="15" customHeight="1" outlineLevel="1">
      <c r="A48" s="546">
        <f>ROW()</f>
        <v>48</v>
      </c>
      <c r="B48" s="395" t="s">
        <v>708</v>
      </c>
      <c r="C48" s="397"/>
      <c r="D48" s="396"/>
      <c r="E48" s="39"/>
      <c r="G48" s="63"/>
      <c r="H48" s="64"/>
      <c r="I48" s="64"/>
      <c r="J48" s="64"/>
      <c r="K48" s="64"/>
      <c r="L48" s="64"/>
      <c r="M48" s="52"/>
      <c r="N48" s="541"/>
    </row>
    <row r="49" spans="1:14" ht="15" customHeight="1" outlineLevel="1">
      <c r="A49" s="546">
        <f>ROW()</f>
        <v>49</v>
      </c>
      <c r="B49" s="42" t="s">
        <v>709</v>
      </c>
      <c r="C49" s="1245">
        <v>2.5</v>
      </c>
      <c r="E49" s="58" t="s">
        <v>710</v>
      </c>
      <c r="G49" s="1242">
        <v>0</v>
      </c>
      <c r="H49" s="42" t="s">
        <v>711</v>
      </c>
      <c r="M49" s="52"/>
      <c r="N49" s="541"/>
    </row>
    <row r="50" spans="1:14" ht="15" customHeight="1" outlineLevel="1">
      <c r="A50" s="546">
        <f>ROW()</f>
        <v>50</v>
      </c>
      <c r="B50" s="42" t="s">
        <v>712</v>
      </c>
      <c r="C50" s="1240">
        <v>0</v>
      </c>
      <c r="D50" s="42" t="s">
        <v>681</v>
      </c>
      <c r="E50" s="58" t="s">
        <v>713</v>
      </c>
      <c r="G50" s="43">
        <f>C54*(1-G49)</f>
        <v>0</v>
      </c>
      <c r="I50" s="65"/>
      <c r="J50" s="65"/>
      <c r="K50" s="65"/>
      <c r="L50" s="65"/>
      <c r="M50" s="52"/>
      <c r="N50" s="541"/>
    </row>
    <row r="51" spans="1:14" ht="15" customHeight="1" outlineLevel="1">
      <c r="A51" s="546">
        <f>ROW()</f>
        <v>51</v>
      </c>
      <c r="B51" s="42" t="s">
        <v>714</v>
      </c>
      <c r="C51" s="57">
        <f>C49*C50</f>
        <v>0</v>
      </c>
      <c r="E51" s="42" t="s">
        <v>715</v>
      </c>
      <c r="G51" s="1244">
        <v>0</v>
      </c>
      <c r="H51" s="53"/>
      <c r="M51" s="52"/>
      <c r="N51" s="541"/>
    </row>
    <row r="52" spans="1:14" ht="15" customHeight="1" outlineLevel="1">
      <c r="A52" s="546">
        <f>ROW()</f>
        <v>52</v>
      </c>
      <c r="B52" s="42" t="s">
        <v>716</v>
      </c>
      <c r="C52" s="1240">
        <v>0</v>
      </c>
      <c r="D52" s="42" t="s">
        <v>681</v>
      </c>
      <c r="E52" s="58" t="s">
        <v>717</v>
      </c>
      <c r="G52" s="1244">
        <v>0</v>
      </c>
      <c r="H52" s="53"/>
      <c r="M52" s="52"/>
      <c r="N52" s="541"/>
    </row>
    <row r="53" spans="1:14" ht="15" customHeight="1" outlineLevel="1">
      <c r="A53" s="546">
        <f>ROW()</f>
        <v>53</v>
      </c>
      <c r="B53" s="42" t="s">
        <v>718</v>
      </c>
      <c r="C53" s="1076">
        <f>C49*C52</f>
        <v>0</v>
      </c>
      <c r="E53" s="42" t="s">
        <v>719</v>
      </c>
      <c r="G53" s="1243">
        <v>0</v>
      </c>
      <c r="M53" s="52"/>
      <c r="N53" s="541"/>
    </row>
    <row r="54" spans="1:14" ht="15" customHeight="1" outlineLevel="1">
      <c r="A54" s="546">
        <f>ROW()</f>
        <v>54</v>
      </c>
      <c r="B54" s="39" t="s">
        <v>720</v>
      </c>
      <c r="C54" s="43">
        <f>C51+C53</f>
        <v>0</v>
      </c>
      <c r="M54" s="52"/>
      <c r="N54" s="541"/>
    </row>
    <row r="55" spans="1:14" ht="15" customHeight="1" outlineLevel="1">
      <c r="A55" s="546">
        <f>ROW()</f>
        <v>55</v>
      </c>
      <c r="B55" s="42" t="s">
        <v>721</v>
      </c>
      <c r="C55" s="46"/>
      <c r="D55" s="1246">
        <f>IFERROR(-PMT(G53/12,G51*12,G50,0,1),0)</f>
        <v>0</v>
      </c>
      <c r="E55" s="42"/>
      <c r="F55" s="42"/>
      <c r="H55" s="53"/>
      <c r="I55" s="53"/>
      <c r="J55" s="53"/>
      <c r="K55" s="53"/>
      <c r="L55" s="53"/>
      <c r="M55" s="52"/>
      <c r="N55" s="541"/>
    </row>
    <row r="56" spans="1:14" ht="15" customHeight="1" outlineLevel="1">
      <c r="A56" s="546">
        <f>ROW()</f>
        <v>56</v>
      </c>
      <c r="B56" s="42" t="s">
        <v>722</v>
      </c>
      <c r="C56" s="46"/>
      <c r="D56" s="43">
        <f>D55*12</f>
        <v>0</v>
      </c>
      <c r="E56" s="44"/>
      <c r="F56" s="44"/>
      <c r="G56" s="400">
        <f>+D56</f>
        <v>0</v>
      </c>
      <c r="H56" s="400">
        <f>IF(H7-$G$7&lt;$G$51,$D$56,0)</f>
        <v>0</v>
      </c>
      <c r="I56" s="400">
        <f>IF(I7-$G$7&lt;$G$51,$D$56,0)</f>
        <v>0</v>
      </c>
      <c r="J56" s="400">
        <f>IF(J7-$G$7&lt;$G$51,$D$56,0)</f>
        <v>0</v>
      </c>
      <c r="K56" s="400">
        <f>IF(K7-$G$7&lt;$G$51,$D$56,0)</f>
        <v>0</v>
      </c>
      <c r="L56" s="400">
        <f>IF(L7-$G$7&lt;$G$51,$D$56,0)</f>
        <v>0</v>
      </c>
      <c r="M56" s="52"/>
      <c r="N56" s="541"/>
    </row>
    <row r="57" spans="1:14" ht="15" customHeight="1" outlineLevel="1">
      <c r="A57" s="546">
        <f>ROW()</f>
        <v>57</v>
      </c>
      <c r="B57" s="42" t="s">
        <v>723</v>
      </c>
      <c r="C57" s="46"/>
      <c r="D57" s="43">
        <f>IFERROR((-PV(0.02,G51,0,((D56*G51)-G50),0))/G51,0)</f>
        <v>0</v>
      </c>
      <c r="E57" s="44"/>
      <c r="F57" s="44"/>
      <c r="G57" s="402">
        <f>$D$57</f>
        <v>0</v>
      </c>
      <c r="H57" s="401">
        <f>IF(H7-$G$7&lt;$G$51,$D$57,0)</f>
        <v>0</v>
      </c>
      <c r="I57" s="401">
        <f>IF(I7-$G$7&lt;$G$51,$D$57,0)</f>
        <v>0</v>
      </c>
      <c r="J57" s="401">
        <f>IF(J7-$G$7&lt;$G$51,$D$57,0)</f>
        <v>0</v>
      </c>
      <c r="K57" s="401">
        <f>IF(K7-$G$7&lt;$G$51,$D$57,0)</f>
        <v>0</v>
      </c>
      <c r="L57" s="401">
        <f>IF(L7-$G$7&lt;$G$51,$D$57,0)</f>
        <v>0</v>
      </c>
      <c r="M57" s="52"/>
      <c r="N57" s="541"/>
    </row>
    <row r="58" spans="1:14" ht="15" customHeight="1" outlineLevel="1">
      <c r="A58" s="546">
        <f>ROW()</f>
        <v>58</v>
      </c>
      <c r="B58" s="42" t="s">
        <v>724</v>
      </c>
      <c r="C58" s="46"/>
      <c r="E58" s="42"/>
      <c r="F58" s="42"/>
      <c r="G58" s="66"/>
      <c r="H58" s="67"/>
      <c r="I58" s="67"/>
      <c r="J58" s="67"/>
      <c r="K58" s="67"/>
      <c r="L58" s="67"/>
      <c r="M58" s="52"/>
      <c r="N58" s="541"/>
    </row>
    <row r="59" spans="1:14" ht="15" customHeight="1" outlineLevel="1">
      <c r="A59" s="546">
        <f>ROW()</f>
        <v>59</v>
      </c>
      <c r="B59" s="42" t="s">
        <v>725</v>
      </c>
      <c r="C59" s="1240">
        <v>0</v>
      </c>
      <c r="D59" s="42" t="s">
        <v>681</v>
      </c>
      <c r="E59" s="42"/>
      <c r="F59" s="42"/>
      <c r="G59" s="394">
        <f t="shared" ref="G59:L59" si="24">$C$59*$C$49</f>
        <v>0</v>
      </c>
      <c r="H59" s="394">
        <f t="shared" si="24"/>
        <v>0</v>
      </c>
      <c r="I59" s="394">
        <f t="shared" si="24"/>
        <v>0</v>
      </c>
      <c r="J59" s="394">
        <f t="shared" si="24"/>
        <v>0</v>
      </c>
      <c r="K59" s="394">
        <f t="shared" si="24"/>
        <v>0</v>
      </c>
      <c r="L59" s="394">
        <f t="shared" si="24"/>
        <v>0</v>
      </c>
      <c r="M59" s="52"/>
      <c r="N59" s="541"/>
    </row>
    <row r="60" spans="1:14" ht="15" customHeight="1" outlineLevel="1">
      <c r="A60" s="546">
        <f>ROW()</f>
        <v>60</v>
      </c>
      <c r="B60" s="58" t="s">
        <v>396</v>
      </c>
      <c r="C60" s="1240">
        <v>0</v>
      </c>
      <c r="D60" s="42" t="s">
        <v>681</v>
      </c>
      <c r="E60" s="42"/>
      <c r="F60" s="42"/>
      <c r="G60" s="394">
        <f t="shared" ref="G60:L60" si="25">$C$60*$C$49</f>
        <v>0</v>
      </c>
      <c r="H60" s="394">
        <f t="shared" si="25"/>
        <v>0</v>
      </c>
      <c r="I60" s="394">
        <f t="shared" si="25"/>
        <v>0</v>
      </c>
      <c r="J60" s="394">
        <f t="shared" si="25"/>
        <v>0</v>
      </c>
      <c r="K60" s="394">
        <f t="shared" si="25"/>
        <v>0</v>
      </c>
      <c r="L60" s="394">
        <f t="shared" si="25"/>
        <v>0</v>
      </c>
      <c r="M60" s="52"/>
      <c r="N60" s="541"/>
    </row>
    <row r="61" spans="1:14" ht="15" customHeight="1" outlineLevel="1">
      <c r="A61" s="546">
        <f>ROW()</f>
        <v>61</v>
      </c>
      <c r="B61" s="58" t="s">
        <v>690</v>
      </c>
      <c r="C61" s="1240">
        <v>0</v>
      </c>
      <c r="D61" s="42" t="s">
        <v>681</v>
      </c>
      <c r="E61" s="42"/>
      <c r="F61" s="42"/>
      <c r="G61" s="394">
        <f t="shared" ref="G61:L61" si="26">$C$61*$C$49</f>
        <v>0</v>
      </c>
      <c r="H61" s="394">
        <f t="shared" si="26"/>
        <v>0</v>
      </c>
      <c r="I61" s="394">
        <f t="shared" si="26"/>
        <v>0</v>
      </c>
      <c r="J61" s="394">
        <f t="shared" si="26"/>
        <v>0</v>
      </c>
      <c r="K61" s="394">
        <f t="shared" si="26"/>
        <v>0</v>
      </c>
      <c r="L61" s="394">
        <f t="shared" si="26"/>
        <v>0</v>
      </c>
      <c r="M61" s="52"/>
      <c r="N61" s="541"/>
    </row>
    <row r="62" spans="1:14" ht="15" customHeight="1" outlineLevel="1">
      <c r="A62" s="546">
        <f>ROW()</f>
        <v>62</v>
      </c>
      <c r="B62" s="58" t="s">
        <v>686</v>
      </c>
      <c r="C62" s="1240">
        <v>0</v>
      </c>
      <c r="D62" s="42" t="s">
        <v>438</v>
      </c>
      <c r="E62" s="42"/>
      <c r="F62" s="42"/>
      <c r="G62" s="394">
        <f t="shared" ref="G62:L62" si="27">$C$62</f>
        <v>0</v>
      </c>
      <c r="H62" s="394">
        <f t="shared" si="27"/>
        <v>0</v>
      </c>
      <c r="I62" s="394">
        <f t="shared" si="27"/>
        <v>0</v>
      </c>
      <c r="J62" s="394">
        <f t="shared" si="27"/>
        <v>0</v>
      </c>
      <c r="K62" s="394">
        <f t="shared" si="27"/>
        <v>0</v>
      </c>
      <c r="L62" s="394">
        <f t="shared" si="27"/>
        <v>0</v>
      </c>
      <c r="M62" s="52"/>
      <c r="N62" s="541"/>
    </row>
    <row r="63" spans="1:14" ht="15" customHeight="1" outlineLevel="1">
      <c r="A63" s="546">
        <f>ROW()</f>
        <v>63</v>
      </c>
      <c r="B63" s="42" t="s">
        <v>726</v>
      </c>
      <c r="E63" s="42"/>
      <c r="F63" s="42"/>
      <c r="G63" s="394">
        <f>C51*G49</f>
        <v>0</v>
      </c>
      <c r="H63" s="394"/>
      <c r="I63" s="394"/>
      <c r="J63" s="394"/>
      <c r="K63" s="394"/>
      <c r="L63" s="394"/>
      <c r="M63" s="52"/>
      <c r="N63" s="541"/>
    </row>
    <row r="64" spans="1:14" ht="15" customHeight="1" outlineLevel="1">
      <c r="A64" s="546">
        <f>ROW()</f>
        <v>64</v>
      </c>
      <c r="B64" s="42" t="s">
        <v>727</v>
      </c>
      <c r="E64" s="42"/>
      <c r="F64" s="42"/>
      <c r="G64" s="394"/>
      <c r="H64" s="394"/>
      <c r="I64" s="394"/>
      <c r="J64" s="394"/>
      <c r="K64" s="394"/>
      <c r="L64" s="394"/>
      <c r="M64" s="52"/>
      <c r="N64" s="541"/>
    </row>
    <row r="65" spans="1:14" ht="15" customHeight="1" outlineLevel="1">
      <c r="A65" s="546">
        <f>ROW()</f>
        <v>65</v>
      </c>
      <c r="B65" s="1493" t="s">
        <v>728</v>
      </c>
      <c r="C65" s="1493"/>
      <c r="D65" s="1493"/>
      <c r="E65" s="1493"/>
      <c r="F65" s="1845"/>
      <c r="G65" s="1037">
        <f t="shared" ref="G65:L65" si="28">SUM(G56:G64)-G57</f>
        <v>0</v>
      </c>
      <c r="H65" s="1037">
        <f t="shared" si="28"/>
        <v>0</v>
      </c>
      <c r="I65" s="1037">
        <f t="shared" si="28"/>
        <v>0</v>
      </c>
      <c r="J65" s="1037">
        <f t="shared" si="28"/>
        <v>0</v>
      </c>
      <c r="K65" s="1037">
        <f t="shared" si="28"/>
        <v>0</v>
      </c>
      <c r="L65" s="1037">
        <f t="shared" si="28"/>
        <v>0</v>
      </c>
      <c r="M65" s="52"/>
      <c r="N65" s="541"/>
    </row>
    <row r="66" spans="1:14" ht="15" customHeight="1" outlineLevel="1">
      <c r="A66" s="546">
        <f>ROW()</f>
        <v>66</v>
      </c>
      <c r="B66" s="190" t="s">
        <v>729</v>
      </c>
      <c r="C66" s="190"/>
      <c r="D66" s="190"/>
      <c r="E66" s="190"/>
      <c r="F66" s="261"/>
      <c r="G66" s="780">
        <f t="shared" ref="G66:L66" si="29">(($C$51+$C$53)/50)+G59+G60+G61+G62</f>
        <v>0</v>
      </c>
      <c r="H66" s="780">
        <f t="shared" si="29"/>
        <v>0</v>
      </c>
      <c r="I66" s="780">
        <f t="shared" si="29"/>
        <v>0</v>
      </c>
      <c r="J66" s="780">
        <f t="shared" si="29"/>
        <v>0</v>
      </c>
      <c r="K66" s="780">
        <f t="shared" si="29"/>
        <v>0</v>
      </c>
      <c r="L66" s="780">
        <f t="shared" si="29"/>
        <v>0</v>
      </c>
      <c r="M66" s="52"/>
      <c r="N66" s="541"/>
    </row>
    <row r="67" spans="1:14" outlineLevel="1">
      <c r="A67" s="546">
        <f>ROW()</f>
        <v>67</v>
      </c>
      <c r="E67" s="42"/>
      <c r="F67" s="42"/>
      <c r="G67" s="781"/>
      <c r="H67" s="782"/>
      <c r="I67" s="782"/>
      <c r="J67" s="782"/>
      <c r="K67" s="782"/>
      <c r="L67" s="782"/>
      <c r="M67" s="52"/>
      <c r="N67" s="541"/>
    </row>
    <row r="68" spans="1:14" outlineLevel="1">
      <c r="A68" s="546">
        <f>ROW()</f>
        <v>68</v>
      </c>
      <c r="B68" s="800" t="s">
        <v>730</v>
      </c>
      <c r="C68" s="801"/>
      <c r="D68" s="801"/>
      <c r="E68" s="802">
        <f>SUM(F68:L68)</f>
        <v>1749364.7947754145</v>
      </c>
      <c r="F68" s="803">
        <f t="shared" ref="F68:L69" si="30">IF($C$7="Lease",F35,F65)</f>
        <v>0</v>
      </c>
      <c r="G68" s="803">
        <f t="shared" si="30"/>
        <v>232331.30000000002</v>
      </c>
      <c r="H68" s="803">
        <f t="shared" si="30"/>
        <v>259325.27600000001</v>
      </c>
      <c r="I68" s="803">
        <f t="shared" si="30"/>
        <v>287398.72928000003</v>
      </c>
      <c r="J68" s="803">
        <f t="shared" si="30"/>
        <v>316598.0603984</v>
      </c>
      <c r="K68" s="803">
        <f t="shared" si="30"/>
        <v>323368.789210352</v>
      </c>
      <c r="L68" s="803">
        <f t="shared" si="30"/>
        <v>330342.6398866626</v>
      </c>
      <c r="M68" s="52"/>
      <c r="N68" s="541"/>
    </row>
    <row r="69" spans="1:14" outlineLevel="1">
      <c r="A69" s="546">
        <f>ROW()</f>
        <v>69</v>
      </c>
      <c r="B69" s="795" t="s">
        <v>731</v>
      </c>
      <c r="C69" s="796"/>
      <c r="D69" s="796"/>
      <c r="E69" s="797">
        <f>SUM(F69:L69)</f>
        <v>1749364.7947754145</v>
      </c>
      <c r="F69" s="799">
        <f t="shared" si="30"/>
        <v>0</v>
      </c>
      <c r="G69" s="799">
        <f t="shared" si="30"/>
        <v>232331.30000000002</v>
      </c>
      <c r="H69" s="798">
        <f t="shared" si="30"/>
        <v>259325.27600000001</v>
      </c>
      <c r="I69" s="798">
        <f t="shared" si="30"/>
        <v>287398.72928000003</v>
      </c>
      <c r="J69" s="798">
        <f t="shared" si="30"/>
        <v>316598.0603984</v>
      </c>
      <c r="K69" s="798">
        <f t="shared" si="30"/>
        <v>323368.789210352</v>
      </c>
      <c r="L69" s="798">
        <f t="shared" si="30"/>
        <v>330342.6398866626</v>
      </c>
      <c r="M69" s="52"/>
      <c r="N69" s="541"/>
    </row>
    <row r="70" spans="1:14">
      <c r="A70" s="546">
        <f>ROW()</f>
        <v>70</v>
      </c>
      <c r="B70" s="1102" t="str">
        <f>IF(C7="Lease",$B$36,B69)</f>
        <v>Total lease book expense (shown on Summary tab)</v>
      </c>
      <c r="C70" s="1103"/>
      <c r="D70" s="1103"/>
      <c r="E70" s="1104">
        <f>SUM(F70:L70)</f>
        <v>1749364.7947754145</v>
      </c>
      <c r="F70" s="1105">
        <f t="shared" ref="F70:L70" si="31">IF($C$7="Lease",F36,F66)</f>
        <v>0</v>
      </c>
      <c r="G70" s="1105">
        <f t="shared" si="31"/>
        <v>232331.30000000002</v>
      </c>
      <c r="H70" s="1105">
        <f t="shared" si="31"/>
        <v>259325.27600000001</v>
      </c>
      <c r="I70" s="1105">
        <f t="shared" si="31"/>
        <v>287398.72928000003</v>
      </c>
      <c r="J70" s="1105">
        <f t="shared" si="31"/>
        <v>316598.0603984</v>
      </c>
      <c r="K70" s="1105">
        <f t="shared" si="31"/>
        <v>323368.789210352</v>
      </c>
      <c r="L70" s="1105">
        <f t="shared" si="31"/>
        <v>330342.6398866626</v>
      </c>
      <c r="M70" s="52"/>
      <c r="N70" s="541"/>
    </row>
    <row r="71" spans="1:14">
      <c r="A71" s="546">
        <f>ROW()</f>
        <v>71</v>
      </c>
      <c r="B71" s="42" t="s">
        <v>732</v>
      </c>
      <c r="E71" s="783"/>
      <c r="F71" s="784">
        <f t="shared" ref="F71:L71" si="32">+F70-F68</f>
        <v>0</v>
      </c>
      <c r="G71" s="784">
        <f t="shared" si="32"/>
        <v>0</v>
      </c>
      <c r="H71" s="784">
        <f t="shared" si="32"/>
        <v>0</v>
      </c>
      <c r="I71" s="784">
        <f t="shared" si="32"/>
        <v>0</v>
      </c>
      <c r="J71" s="784">
        <f t="shared" si="32"/>
        <v>0</v>
      </c>
      <c r="K71" s="784">
        <f t="shared" si="32"/>
        <v>0</v>
      </c>
      <c r="L71" s="784">
        <f t="shared" si="32"/>
        <v>0</v>
      </c>
      <c r="N71" s="541"/>
    </row>
    <row r="72" spans="1:14">
      <c r="A72" s="546">
        <f>ROW()</f>
        <v>72</v>
      </c>
      <c r="F72" s="300"/>
      <c r="G72" s="300"/>
      <c r="H72" s="300"/>
      <c r="I72" s="300"/>
      <c r="J72" s="300"/>
      <c r="K72" s="300"/>
      <c r="L72" s="300"/>
      <c r="N72" s="541"/>
    </row>
    <row r="73" spans="1:14">
      <c r="A73" s="546">
        <f>ROW()</f>
        <v>73</v>
      </c>
      <c r="E73" s="42"/>
      <c r="F73" s="99" t="str">
        <f>Levers!C6</f>
        <v>SY 0/Incu</v>
      </c>
      <c r="G73" s="792">
        <f>Levers!D6</f>
        <v>1</v>
      </c>
      <c r="H73" s="792">
        <f>Levers!E6</f>
        <v>2</v>
      </c>
      <c r="I73" s="792">
        <f>Levers!F6</f>
        <v>3</v>
      </c>
      <c r="J73" s="792">
        <f>Levers!G6</f>
        <v>4</v>
      </c>
      <c r="K73" s="792">
        <f>Levers!H6</f>
        <v>5</v>
      </c>
      <c r="L73" s="792">
        <f>Levers!I6</f>
        <v>6</v>
      </c>
      <c r="N73" s="541"/>
    </row>
    <row r="74" spans="1:14" ht="15.75">
      <c r="A74" s="546">
        <f>ROW()</f>
        <v>74</v>
      </c>
      <c r="E74" s="42"/>
      <c r="F74" s="1106">
        <f>Levers!C7</f>
        <v>2021</v>
      </c>
      <c r="G74" s="1107">
        <f>Levers!D7</f>
        <v>2022</v>
      </c>
      <c r="H74" s="1108">
        <f>Levers!E7</f>
        <v>2023</v>
      </c>
      <c r="I74" s="1108">
        <f>Levers!F7</f>
        <v>2024</v>
      </c>
      <c r="J74" s="1108">
        <f>Levers!G7</f>
        <v>2025</v>
      </c>
      <c r="K74" s="1108">
        <f>Levers!H7</f>
        <v>2026</v>
      </c>
      <c r="L74" s="1109">
        <f>Levers!I7</f>
        <v>2027</v>
      </c>
      <c r="N74" s="541"/>
    </row>
    <row r="75" spans="1:14" ht="15.75">
      <c r="A75" s="546">
        <f>ROW()</f>
        <v>75</v>
      </c>
      <c r="B75" s="1114"/>
      <c r="E75" s="791" t="str">
        <f>Levers!B8</f>
        <v>Totals</v>
      </c>
      <c r="F75" s="1110">
        <f>Levers!C8</f>
        <v>2022</v>
      </c>
      <c r="G75" s="1111">
        <f>Levers!D8</f>
        <v>2023</v>
      </c>
      <c r="H75" s="1112">
        <f>Levers!E8</f>
        <v>2024</v>
      </c>
      <c r="I75" s="1112">
        <f>Levers!F8</f>
        <v>2025</v>
      </c>
      <c r="J75" s="1112">
        <f>Levers!G8</f>
        <v>2026</v>
      </c>
      <c r="K75" s="1112">
        <f>Levers!H8</f>
        <v>2027</v>
      </c>
      <c r="L75" s="1113">
        <f>Levers!I8</f>
        <v>2028</v>
      </c>
      <c r="N75" s="541"/>
    </row>
    <row r="76" spans="1:14" ht="15.75">
      <c r="A76" s="546">
        <f>ROW()</f>
        <v>76</v>
      </c>
      <c r="B76" s="746" t="str">
        <f>Levers!A9</f>
        <v>Total Enrollment</v>
      </c>
      <c r="E76" s="1115">
        <f>Levers!B9</f>
        <v>1800</v>
      </c>
      <c r="F76" s="1116" t="str">
        <f>Levers!C9</f>
        <v xml:space="preserve"> </v>
      </c>
      <c r="G76" s="1115">
        <f>Levers!D9</f>
        <v>180</v>
      </c>
      <c r="H76" s="1115">
        <f>Levers!E9</f>
        <v>240</v>
      </c>
      <c r="I76" s="1115">
        <f>Levers!F9</f>
        <v>300</v>
      </c>
      <c r="J76" s="1115">
        <f>Levers!G9</f>
        <v>360</v>
      </c>
      <c r="K76" s="1115">
        <f>Levers!H9</f>
        <v>360</v>
      </c>
      <c r="L76" s="1115">
        <f>Levers!I9</f>
        <v>360</v>
      </c>
      <c r="M76" s="80"/>
      <c r="N76" s="541"/>
    </row>
    <row r="77" spans="1:14" ht="15.75">
      <c r="A77" s="546">
        <f>ROW()</f>
        <v>77</v>
      </c>
      <c r="B77" s="747" t="str">
        <f>Levers!A10</f>
        <v>Total Revenue</v>
      </c>
      <c r="E77" s="723">
        <f>Levers!B10</f>
        <v>19744109.325277608</v>
      </c>
      <c r="F77" s="723">
        <f>Levers!C10</f>
        <v>500000</v>
      </c>
      <c r="G77" s="723">
        <f>Levers!D10</f>
        <v>2248562.8718250003</v>
      </c>
      <c r="H77" s="723">
        <f>Levers!E10</f>
        <v>2518203.4592864197</v>
      </c>
      <c r="I77" s="723">
        <f>Levers!F10</f>
        <v>3122001.864325976</v>
      </c>
      <c r="J77" s="723">
        <f>Levers!G10</f>
        <v>3726926.2693655328</v>
      </c>
      <c r="K77" s="723">
        <f>Levers!H10</f>
        <v>3810720.4302373398</v>
      </c>
      <c r="L77" s="723">
        <f>Levers!I10</f>
        <v>3817694.4302373398</v>
      </c>
      <c r="M77" s="80"/>
      <c r="N77" s="541"/>
    </row>
    <row r="78" spans="1:14" ht="15.75">
      <c r="A78" s="546">
        <f>ROW()</f>
        <v>78</v>
      </c>
      <c r="B78" s="747" t="str">
        <f>Levers!A11</f>
        <v>Rev per student</v>
      </c>
      <c r="E78" s="723">
        <f>Levers!B11</f>
        <v>10968.949625154226</v>
      </c>
      <c r="F78" s="723"/>
      <c r="G78" s="723">
        <f>Levers!D11</f>
        <v>12492.015954583334</v>
      </c>
      <c r="H78" s="723">
        <f>Levers!E11</f>
        <v>10492.514413693416</v>
      </c>
      <c r="I78" s="723">
        <f>Levers!F11</f>
        <v>10406.672881086586</v>
      </c>
      <c r="J78" s="723">
        <f>Levers!G11</f>
        <v>10352.572970459812</v>
      </c>
      <c r="K78" s="723">
        <f>Levers!H11</f>
        <v>10585.334528437055</v>
      </c>
      <c r="L78" s="723">
        <f>Levers!I11</f>
        <v>10604.706750659278</v>
      </c>
      <c r="M78" s="80"/>
      <c r="N78" s="541"/>
    </row>
    <row r="79" spans="1:14" ht="15.75">
      <c r="A79" s="546">
        <f>ROW()</f>
        <v>79</v>
      </c>
      <c r="B79" s="747" t="str">
        <f>Levers!A20</f>
        <v>Total Facilities</v>
      </c>
      <c r="E79" s="723">
        <f>Levers!B20</f>
        <v>1749364.7947754145</v>
      </c>
      <c r="F79" s="723">
        <f>Levers!C20</f>
        <v>0</v>
      </c>
      <c r="G79" s="723">
        <f>Levers!D20</f>
        <v>232331.30000000002</v>
      </c>
      <c r="H79" s="723">
        <f>Levers!E20</f>
        <v>259325.27600000001</v>
      </c>
      <c r="I79" s="723">
        <f>Levers!F20</f>
        <v>287398.72928000003</v>
      </c>
      <c r="J79" s="723">
        <f>Levers!G20</f>
        <v>316598.0603984</v>
      </c>
      <c r="K79" s="723">
        <f>Levers!H20</f>
        <v>323368.789210352</v>
      </c>
      <c r="L79" s="723">
        <f>Levers!I20</f>
        <v>330342.6398866626</v>
      </c>
      <c r="M79" s="80"/>
      <c r="N79" s="541"/>
    </row>
    <row r="80" spans="1:14" ht="15.75">
      <c r="A80" s="546">
        <f>ROW()</f>
        <v>80</v>
      </c>
      <c r="B80" s="747" t="str">
        <f>Levers!A21</f>
        <v>Facilities per Student</v>
      </c>
      <c r="E80" s="723">
        <f>Levers!B21</f>
        <v>971.86933043078579</v>
      </c>
      <c r="F80" s="723"/>
      <c r="G80" s="723">
        <f>Levers!D21</f>
        <v>1290.7294444444447</v>
      </c>
      <c r="H80" s="723">
        <f>Levers!E21</f>
        <v>1080.5219833333333</v>
      </c>
      <c r="I80" s="723">
        <f>Levers!F21</f>
        <v>957.99576426666681</v>
      </c>
      <c r="J80" s="723">
        <f>Levers!G21</f>
        <v>879.43905666222224</v>
      </c>
      <c r="K80" s="723">
        <f>Levers!H21</f>
        <v>898.24663669542224</v>
      </c>
      <c r="L80" s="723">
        <f>Levers!I21</f>
        <v>917.6184441296183</v>
      </c>
      <c r="M80" s="80"/>
      <c r="N80" s="541"/>
    </row>
    <row r="81" spans="1:14" ht="15.75">
      <c r="A81" s="546">
        <f>ROW()</f>
        <v>81</v>
      </c>
      <c r="B81" s="747" t="str">
        <f>Levers!A22</f>
        <v>Net Surplus after Facilities</v>
      </c>
      <c r="E81" s="723">
        <f>Levers!B22</f>
        <v>17994744.530502193</v>
      </c>
      <c r="F81" s="723">
        <f>Levers!C22</f>
        <v>500000</v>
      </c>
      <c r="G81" s="723">
        <f>Levers!D22</f>
        <v>2016231.5718250002</v>
      </c>
      <c r="H81" s="723">
        <f>Levers!E22</f>
        <v>2258878.1832864196</v>
      </c>
      <c r="I81" s="723">
        <f>Levers!F22</f>
        <v>2834603.1350459759</v>
      </c>
      <c r="J81" s="723">
        <f>Levers!G22</f>
        <v>3410328.208967133</v>
      </c>
      <c r="K81" s="723">
        <f>Levers!H22</f>
        <v>3487351.6410269877</v>
      </c>
      <c r="L81" s="723">
        <f>Levers!I22</f>
        <v>3487351.7903506774</v>
      </c>
      <c r="M81" s="80"/>
      <c r="N81" s="541"/>
    </row>
    <row r="82" spans="1:14">
      <c r="A82" s="546">
        <f>ROW()</f>
        <v>82</v>
      </c>
      <c r="B82" s="80" t="str">
        <f>Levers!A23</f>
        <v>Net Surplus after Facilities per Student</v>
      </c>
      <c r="E82" s="724">
        <f>Levers!B23</f>
        <v>9997.0802947234406</v>
      </c>
      <c r="F82" s="724"/>
      <c r="G82" s="724">
        <f>Levers!D23</f>
        <v>11201.286510138891</v>
      </c>
      <c r="H82" s="724">
        <f>Levers!E23</f>
        <v>9411.9924303600819</v>
      </c>
      <c r="I82" s="724">
        <f>Levers!F23</f>
        <v>9448.6771168199193</v>
      </c>
      <c r="J82" s="724">
        <f>Levers!G23</f>
        <v>9473.133913797592</v>
      </c>
      <c r="K82" s="724">
        <f>Levers!H23</f>
        <v>9687.0878917416321</v>
      </c>
      <c r="L82" s="724">
        <f>Levers!I23</f>
        <v>9687.0883065296603</v>
      </c>
      <c r="M82" s="80"/>
      <c r="N82" s="541"/>
    </row>
    <row r="83" spans="1:14">
      <c r="A83" s="546">
        <f>ROW()</f>
        <v>83</v>
      </c>
      <c r="B83" s="80" t="s">
        <v>431</v>
      </c>
      <c r="E83" s="724">
        <f>Levers!B38</f>
        <v>2729019.5429767738</v>
      </c>
      <c r="F83" s="724">
        <f>Levers!C38</f>
        <v>495000</v>
      </c>
      <c r="G83" s="724">
        <f>Levers!D38</f>
        <v>164773.1218250003</v>
      </c>
      <c r="H83" s="724">
        <f>Levers!E38</f>
        <v>157179.60388641959</v>
      </c>
      <c r="I83" s="724">
        <f>Levers!F38</f>
        <v>159032.43640497583</v>
      </c>
      <c r="J83" s="724">
        <f>Levers!G38</f>
        <v>514150.35120184784</v>
      </c>
      <c r="K83" s="724">
        <f>Levers!H38</f>
        <v>627259.89273383562</v>
      </c>
      <c r="L83" s="724">
        <f>Levers!I38</f>
        <v>611624.13692469383</v>
      </c>
      <c r="M83" s="80"/>
      <c r="N83" s="541"/>
    </row>
    <row r="84" spans="1:14">
      <c r="A84" s="546">
        <f>ROW()</f>
        <v>84</v>
      </c>
      <c r="B84" s="181" t="s">
        <v>432</v>
      </c>
      <c r="E84" s="724">
        <f>Levers!B39</f>
        <v>1516.1219683204299</v>
      </c>
      <c r="F84" s="724"/>
      <c r="G84" s="724">
        <f>Levers!D39</f>
        <v>915.40623236111276</v>
      </c>
      <c r="H84" s="724">
        <f>Levers!E39</f>
        <v>654.915016193415</v>
      </c>
      <c r="I84" s="724">
        <f>Levers!F39</f>
        <v>530.10812134991943</v>
      </c>
      <c r="J84" s="724">
        <f>Levers!G39</f>
        <v>1428.195420005133</v>
      </c>
      <c r="K84" s="724">
        <f>Levers!H39</f>
        <v>1742.388590927321</v>
      </c>
      <c r="L84" s="724">
        <f>Levers!I39</f>
        <v>1698.9559359019272</v>
      </c>
      <c r="M84" s="80"/>
      <c r="N84" s="541"/>
    </row>
    <row r="85" spans="1:14">
      <c r="A85" s="546">
        <f>ROW()</f>
        <v>85</v>
      </c>
      <c r="B85" s="80"/>
      <c r="C85" s="80"/>
      <c r="D85" s="80"/>
      <c r="E85" s="80"/>
      <c r="F85" s="80"/>
      <c r="G85" s="80"/>
      <c r="H85" s="80"/>
      <c r="I85" s="80"/>
      <c r="J85" s="80"/>
      <c r="K85" s="80"/>
      <c r="L85" s="80"/>
      <c r="M85" s="80"/>
      <c r="N85" s="541"/>
    </row>
    <row r="86" spans="1:14">
      <c r="A86" s="546">
        <f>ROW()</f>
        <v>86</v>
      </c>
      <c r="B86" s="111" t="s">
        <v>733</v>
      </c>
      <c r="C86" s="111"/>
      <c r="D86" s="111"/>
      <c r="E86" s="111"/>
      <c r="F86" s="111" t="s">
        <v>546</v>
      </c>
      <c r="G86" s="793" t="s">
        <v>734</v>
      </c>
      <c r="H86" s="793" t="s">
        <v>735</v>
      </c>
      <c r="I86" s="793" t="s">
        <v>736</v>
      </c>
      <c r="J86" s="793" t="s">
        <v>737</v>
      </c>
      <c r="K86" s="793" t="s">
        <v>738</v>
      </c>
      <c r="L86" s="793" t="s">
        <v>739</v>
      </c>
      <c r="M86" s="80"/>
      <c r="N86" s="541"/>
    </row>
    <row r="87" spans="1:14">
      <c r="A87" s="546">
        <f>ROW()</f>
        <v>87</v>
      </c>
      <c r="B87" s="84" t="s">
        <v>740</v>
      </c>
      <c r="C87" s="84"/>
      <c r="D87" s="84"/>
      <c r="E87" s="84"/>
      <c r="F87" s="84"/>
      <c r="G87" s="240">
        <f t="shared" ref="G87:L87" si="33">IF($C$7="lease",G11,$C$49)</f>
        <v>15990</v>
      </c>
      <c r="H87" s="240">
        <f t="shared" si="33"/>
        <v>17490</v>
      </c>
      <c r="I87" s="240">
        <f t="shared" si="33"/>
        <v>18990</v>
      </c>
      <c r="J87" s="240">
        <f t="shared" si="33"/>
        <v>20490</v>
      </c>
      <c r="K87" s="240">
        <f t="shared" si="33"/>
        <v>20490</v>
      </c>
      <c r="L87" s="240">
        <f t="shared" si="33"/>
        <v>20490</v>
      </c>
      <c r="M87" s="80"/>
      <c r="N87" s="541"/>
    </row>
    <row r="88" spans="1:14">
      <c r="A88" s="546">
        <f>ROW()</f>
        <v>88</v>
      </c>
      <c r="B88" s="748" t="s">
        <v>394</v>
      </c>
      <c r="C88" s="84"/>
      <c r="D88" s="84"/>
      <c r="E88" s="84"/>
      <c r="F88" s="84"/>
      <c r="G88" s="240">
        <f t="shared" ref="G88:L88" si="34">IF($C$7="lease",G21,G56)</f>
        <v>161179.20000000001</v>
      </c>
      <c r="H88" s="240">
        <f t="shared" si="34"/>
        <v>181588.17600000001</v>
      </c>
      <c r="I88" s="240">
        <f t="shared" si="34"/>
        <v>203076.62928000002</v>
      </c>
      <c r="J88" s="240">
        <f t="shared" si="34"/>
        <v>225690.9603984</v>
      </c>
      <c r="K88" s="240">
        <f t="shared" si="34"/>
        <v>232461.68921035199</v>
      </c>
      <c r="L88" s="240">
        <f t="shared" si="34"/>
        <v>239435.53988666259</v>
      </c>
      <c r="M88" s="80"/>
      <c r="N88" s="541"/>
    </row>
    <row r="89" spans="1:14">
      <c r="A89" s="546">
        <f>ROW()</f>
        <v>89</v>
      </c>
      <c r="B89" s="748" t="s">
        <v>395</v>
      </c>
      <c r="C89" s="84"/>
      <c r="D89" s="84"/>
      <c r="E89" s="84"/>
      <c r="F89" s="84"/>
      <c r="G89" s="240">
        <f t="shared" ref="G89:L91" si="35">IF($C$7="lease",G23,G59)</f>
        <v>11193</v>
      </c>
      <c r="H89" s="240">
        <f t="shared" si="35"/>
        <v>12243</v>
      </c>
      <c r="I89" s="240">
        <f t="shared" si="35"/>
        <v>13293</v>
      </c>
      <c r="J89" s="240">
        <f t="shared" si="35"/>
        <v>14343</v>
      </c>
      <c r="K89" s="240">
        <f t="shared" si="35"/>
        <v>14343</v>
      </c>
      <c r="L89" s="240">
        <f t="shared" si="35"/>
        <v>14343</v>
      </c>
      <c r="M89" s="80"/>
      <c r="N89" s="541"/>
    </row>
    <row r="90" spans="1:14">
      <c r="A90" s="546">
        <f>ROW()</f>
        <v>90</v>
      </c>
      <c r="B90" s="748" t="s">
        <v>396</v>
      </c>
      <c r="C90" s="84"/>
      <c r="D90" s="84"/>
      <c r="E90" s="84"/>
      <c r="F90" s="84"/>
      <c r="G90" s="240">
        <f t="shared" si="35"/>
        <v>59003.1</v>
      </c>
      <c r="H90" s="240">
        <f t="shared" si="35"/>
        <v>64538.1</v>
      </c>
      <c r="I90" s="240">
        <f t="shared" si="35"/>
        <v>70073.100000000006</v>
      </c>
      <c r="J90" s="240">
        <f t="shared" si="35"/>
        <v>75608.100000000006</v>
      </c>
      <c r="K90" s="240">
        <f t="shared" si="35"/>
        <v>75608.100000000006</v>
      </c>
      <c r="L90" s="240">
        <f t="shared" si="35"/>
        <v>75608.100000000006</v>
      </c>
      <c r="M90" s="80"/>
      <c r="N90" s="541"/>
    </row>
    <row r="91" spans="1:14">
      <c r="A91" s="546">
        <f>ROW()</f>
        <v>91</v>
      </c>
      <c r="B91" s="749" t="s">
        <v>397</v>
      </c>
      <c r="C91" s="84"/>
      <c r="D91" s="84"/>
      <c r="E91" s="84"/>
      <c r="F91" s="84"/>
      <c r="G91" s="240">
        <f t="shared" si="35"/>
        <v>0</v>
      </c>
      <c r="H91" s="240">
        <f t="shared" si="35"/>
        <v>0</v>
      </c>
      <c r="I91" s="240">
        <f t="shared" si="35"/>
        <v>0</v>
      </c>
      <c r="J91" s="240">
        <f t="shared" si="35"/>
        <v>0</v>
      </c>
      <c r="K91" s="240">
        <f t="shared" si="35"/>
        <v>0</v>
      </c>
      <c r="L91" s="240">
        <f t="shared" si="35"/>
        <v>0</v>
      </c>
      <c r="M91" s="80"/>
      <c r="N91" s="541"/>
    </row>
    <row r="92" spans="1:14">
      <c r="A92" s="546">
        <f>ROW()</f>
        <v>92</v>
      </c>
      <c r="B92" s="749" t="s">
        <v>398</v>
      </c>
      <c r="C92" s="84"/>
      <c r="D92" s="84"/>
      <c r="E92" s="84"/>
      <c r="F92" s="84"/>
      <c r="G92" s="240">
        <f t="shared" ref="G92:L92" si="36">IF($C$7="lease",G27,G62)</f>
        <v>0</v>
      </c>
      <c r="H92" s="240">
        <f t="shared" si="36"/>
        <v>0</v>
      </c>
      <c r="I92" s="240">
        <f t="shared" si="36"/>
        <v>0</v>
      </c>
      <c r="J92" s="240">
        <f t="shared" si="36"/>
        <v>0</v>
      </c>
      <c r="K92" s="240">
        <f t="shared" si="36"/>
        <v>0</v>
      </c>
      <c r="L92" s="240">
        <f t="shared" si="36"/>
        <v>0</v>
      </c>
      <c r="M92" s="80"/>
      <c r="N92" s="541"/>
    </row>
    <row r="93" spans="1:14">
      <c r="A93" s="546">
        <f>ROW()</f>
        <v>93</v>
      </c>
      <c r="B93" s="749" t="s">
        <v>399</v>
      </c>
      <c r="C93" s="84"/>
      <c r="D93" s="84"/>
      <c r="E93" s="84"/>
      <c r="F93" s="84"/>
      <c r="G93" s="240">
        <f t="shared" ref="G93:L93" si="37">IF($C$7="lease",G33,0)</f>
        <v>0</v>
      </c>
      <c r="H93" s="240">
        <f t="shared" si="37"/>
        <v>0</v>
      </c>
      <c r="I93" s="240">
        <f t="shared" si="37"/>
        <v>0</v>
      </c>
      <c r="J93" s="240">
        <f t="shared" si="37"/>
        <v>0</v>
      </c>
      <c r="K93" s="240">
        <f t="shared" si="37"/>
        <v>0</v>
      </c>
      <c r="L93" s="240">
        <f t="shared" si="37"/>
        <v>0</v>
      </c>
      <c r="M93" s="80"/>
      <c r="N93" s="541"/>
    </row>
    <row r="94" spans="1:14">
      <c r="A94" s="546">
        <f>ROW()</f>
        <v>94</v>
      </c>
      <c r="B94" s="749" t="s">
        <v>365</v>
      </c>
      <c r="C94" s="84"/>
      <c r="D94" s="84"/>
      <c r="E94" s="84"/>
      <c r="F94" s="84"/>
      <c r="G94" s="240">
        <f t="shared" ref="G94:L94" si="38">IF($C$7="lease",G32,0)</f>
        <v>0</v>
      </c>
      <c r="H94" s="240">
        <f t="shared" si="38"/>
        <v>0</v>
      </c>
      <c r="I94" s="240">
        <f t="shared" si="38"/>
        <v>0</v>
      </c>
      <c r="J94" s="240">
        <f t="shared" si="38"/>
        <v>0</v>
      </c>
      <c r="K94" s="240">
        <f t="shared" si="38"/>
        <v>0</v>
      </c>
      <c r="L94" s="240">
        <f t="shared" si="38"/>
        <v>0</v>
      </c>
      <c r="M94" s="80"/>
      <c r="N94" s="541"/>
    </row>
    <row r="95" spans="1:14">
      <c r="A95" s="546"/>
      <c r="B95" s="618"/>
      <c r="C95" s="80"/>
      <c r="D95" s="80"/>
      <c r="E95" s="80"/>
      <c r="F95" s="80"/>
      <c r="G95" s="80"/>
      <c r="H95" s="80"/>
      <c r="I95" s="80"/>
      <c r="J95" s="80"/>
      <c r="K95" s="80"/>
      <c r="L95" s="80"/>
      <c r="M95" s="80"/>
      <c r="N95" s="541"/>
    </row>
    <row r="96" spans="1:14">
      <c r="B96" s="80"/>
      <c r="C96" s="80"/>
      <c r="D96" s="80"/>
      <c r="E96" s="80"/>
      <c r="F96" s="80"/>
      <c r="G96" s="80"/>
      <c r="H96" s="80"/>
      <c r="I96" s="80"/>
      <c r="J96" s="80"/>
      <c r="K96" s="80"/>
      <c r="L96" s="80"/>
      <c r="M96" s="80"/>
    </row>
    <row r="97" spans="2:13">
      <c r="B97" s="80"/>
      <c r="C97" s="80"/>
      <c r="D97" s="80"/>
      <c r="E97" s="80"/>
      <c r="F97" s="80"/>
      <c r="G97" s="80"/>
      <c r="H97" s="80"/>
      <c r="I97" s="80"/>
      <c r="J97" s="80"/>
      <c r="K97" s="80"/>
      <c r="L97" s="80"/>
      <c r="M97"/>
    </row>
    <row r="98" spans="2:13">
      <c r="M98" s="2"/>
    </row>
  </sheetData>
  <sheetProtection algorithmName="SHA-512" hashValue="Fxxx4EgEZYwlpZUNrX1gLZRzuJRLQ+hL7HUB92JZgsgHQ37iS260tRM8ymtV7fSBfYzWt+N/f3i3YavTqd5JxA==" saltValue="3l7h0WfQIqs/KOvE/BJslg==" spinCount="100000" sheet="1" objects="1" scenarios="1"/>
  <mergeCells count="2">
    <mergeCell ref="G2:K2"/>
    <mergeCell ref="G3:K3"/>
  </mergeCells>
  <conditionalFormatting sqref="G51">
    <cfRule type="expression" dxfId="30"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F65:F66">
    <cfRule type="cellIs" dxfId="29" priority="8" stopIfTrue="1" operator="equal">
      <formula>0</formula>
    </cfRule>
  </conditionalFormatting>
  <conditionalFormatting sqref="D1">
    <cfRule type="expression" dxfId="28" priority="3" stopIfTrue="1">
      <formula>MOD(ROW(),2)=0</formula>
    </cfRule>
  </conditionalFormatting>
  <conditionalFormatting sqref="Z1:Z6">
    <cfRule type="cellIs" dxfId="27" priority="2" stopIfTrue="1" operator="equal">
      <formula>0</formula>
    </cfRule>
  </conditionalFormatting>
  <hyperlinks>
    <hyperlink ref="D1" location="HypLink1" display="HypLink1"/>
  </hyperlinks>
  <pageMargins left="0.25" right="0.25" top="0.5" bottom="0.45" header="0.25" footer="0.25"/>
  <pageSetup scale="54" fitToWidth="2" orientation="landscape" r:id="rId1"/>
  <headerFooter>
    <oddHeader xml:space="preserve">&amp;L &amp;C &amp;R </oddHeader>
    <oddFooter>&amp;L&amp;7&amp;D  at &amp;T Mike 702.486.8879&amp;C&amp;7&amp;F  &amp;A&amp;R&amp;7Page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Z64"/>
  <sheetViews>
    <sheetView topLeftCell="A4" zoomScaleNormal="100" workbookViewId="0">
      <selection activeCell="N35" sqref="N35"/>
    </sheetView>
  </sheetViews>
  <sheetFormatPr defaultColWidth="8.85546875" defaultRowHeight="15"/>
  <cols>
    <col min="1" max="1" width="7" style="42" customWidth="1"/>
    <col min="2" max="2" width="32.7109375" style="42" customWidth="1"/>
    <col min="3" max="3" width="15.5703125" style="42" customWidth="1"/>
    <col min="4" max="4" width="17.140625" style="46" customWidth="1"/>
    <col min="5" max="5" width="2.140625" style="46" customWidth="1"/>
    <col min="6" max="6" width="12.28515625" style="46" customWidth="1"/>
    <col min="7" max="12" width="13.7109375" style="42" customWidth="1"/>
    <col min="13" max="13" width="4.7109375" style="42" customWidth="1"/>
    <col min="14" max="14" width="76.5703125" style="42" customWidth="1"/>
    <col min="15" max="15" width="11.5703125" style="42" bestFit="1" customWidth="1"/>
    <col min="16" max="16" width="8.85546875" style="42"/>
    <col min="17" max="17" width="17.28515625" style="42" customWidth="1"/>
    <col min="18" max="16384" width="8.85546875" style="42"/>
  </cols>
  <sheetData>
    <row r="1" spans="1:26" ht="33.6" customHeight="1">
      <c r="A1" s="1893" t="s">
        <v>741</v>
      </c>
      <c r="B1" s="1893"/>
      <c r="D1" s="640" t="s">
        <v>2</v>
      </c>
      <c r="F1" s="542"/>
      <c r="G1" s="59"/>
      <c r="H1" s="59"/>
      <c r="I1" s="59"/>
      <c r="J1" s="59"/>
      <c r="K1" s="1016"/>
      <c r="L1" s="59"/>
      <c r="O1" s="8" cm="1">
        <f t="array" aca="1" ref="O1" ca="1">CELL("protect",A1)</f>
        <v>1</v>
      </c>
      <c r="P1" s="8" cm="1">
        <f t="array" aca="1" ref="P1" ca="1">CELL("protect",B1)</f>
        <v>1</v>
      </c>
      <c r="Q1" s="8" cm="1">
        <f t="array" aca="1" ref="Q1" ca="1">CELL("protect",C1)</f>
        <v>1</v>
      </c>
      <c r="R1" s="8" cm="1">
        <f t="array" aca="1" ref="R1" ca="1">CELL("protect",D1)</f>
        <v>1</v>
      </c>
      <c r="S1" s="8" cm="1">
        <f t="array" aca="1" ref="S1" ca="1">CELL("protect",E1)</f>
        <v>1</v>
      </c>
      <c r="T1" s="8" cm="1">
        <f t="array" aca="1" ref="T1" ca="1">CELL("protect",F1)</f>
        <v>1</v>
      </c>
      <c r="U1" s="8" cm="1">
        <f t="array" aca="1" ref="U1" ca="1">CELL("protect",G1)</f>
        <v>1</v>
      </c>
      <c r="V1" s="8" cm="1">
        <f t="array" aca="1" ref="V1" ca="1">CELL("protect",H1)</f>
        <v>1</v>
      </c>
      <c r="W1" s="8" cm="1">
        <f t="array" aca="1" ref="W1" ca="1">CELL("protect",I1)</f>
        <v>1</v>
      </c>
      <c r="X1" s="8" cm="1">
        <f t="array" aca="1" ref="X1" ca="1">CELL("protect",J1)</f>
        <v>1</v>
      </c>
      <c r="Y1" s="8" cm="1">
        <f t="array" aca="1" ref="Y1" ca="1">CELL("protect",K1)</f>
        <v>1</v>
      </c>
      <c r="Z1" s="8" cm="1">
        <f t="array" aca="1" ref="Z1" ca="1">CELL("protect",L1)</f>
        <v>1</v>
      </c>
    </row>
    <row r="2" spans="1:26" ht="15.75">
      <c r="A2" s="187" t="str">
        <f>SchoolName</f>
        <v>Strong Start Academy Elementary School</v>
      </c>
      <c r="B2" s="188"/>
      <c r="C2" s="86"/>
      <c r="F2" s="1892"/>
      <c r="G2" s="1892"/>
      <c r="H2" s="1892"/>
      <c r="I2" s="1892"/>
      <c r="J2" s="1892"/>
      <c r="K2" s="1892"/>
      <c r="L2" s="1892"/>
      <c r="M2" s="46"/>
    </row>
    <row r="3" spans="1:26">
      <c r="A3" s="50" t="s">
        <v>62</v>
      </c>
      <c r="F3" s="1892"/>
      <c r="G3" s="1892"/>
      <c r="H3" s="1892"/>
      <c r="I3" s="1892"/>
      <c r="J3" s="1892"/>
      <c r="K3" s="1892"/>
      <c r="L3" s="1892"/>
      <c r="M3" s="46"/>
    </row>
    <row r="4" spans="1:26">
      <c r="A4" s="51" t="s">
        <v>63</v>
      </c>
      <c r="F4" s="1892"/>
      <c r="G4" s="1892"/>
      <c r="H4" s="1892"/>
      <c r="I4" s="1892"/>
      <c r="J4" s="1892"/>
      <c r="K4" s="1892"/>
      <c r="L4" s="1892"/>
      <c r="M4" s="46"/>
    </row>
    <row r="5" spans="1:26">
      <c r="A5" s="38" t="str">
        <f ca="1">CELL("filename")</f>
        <v>C:\Users\rsaucedo\OneDrive - City of Las Vegas\CLV Charter School\[Strong Start Academy Elementary School Financial Workbook 2021.xlsx]Incubation</v>
      </c>
    </row>
    <row r="6" spans="1:26">
      <c r="F6" s="1122" t="str">
        <f>' Enrol &amp; Rev'!G9</f>
        <v>SY 0/Incu</v>
      </c>
      <c r="G6" s="1123">
        <f>' Enrol &amp; Rev'!H9</f>
        <v>1</v>
      </c>
      <c r="H6" s="1123">
        <f>' Enrol &amp; Rev'!I9</f>
        <v>2</v>
      </c>
      <c r="I6" s="1123">
        <f>' Enrol &amp; Rev'!J9</f>
        <v>3</v>
      </c>
      <c r="J6" s="1123">
        <f>' Enrol &amp; Rev'!K9</f>
        <v>4</v>
      </c>
      <c r="K6" s="1123">
        <f>' Enrol &amp; Rev'!L9</f>
        <v>5</v>
      </c>
      <c r="L6" s="1124">
        <f>' Enrol &amp; Rev'!M9</f>
        <v>6</v>
      </c>
      <c r="M6" s="52"/>
      <c r="N6" s="52"/>
    </row>
    <row r="7" spans="1:26">
      <c r="F7" s="1125">
        <f>' Enrol &amp; Rev'!G10</f>
        <v>2021</v>
      </c>
      <c r="G7" s="1125">
        <f>' Enrol &amp; Rev'!H10</f>
        <v>2022</v>
      </c>
      <c r="H7" s="1126">
        <f>' Enrol &amp; Rev'!I10</f>
        <v>2023</v>
      </c>
      <c r="I7" s="1126">
        <f>' Enrol &amp; Rev'!J10</f>
        <v>2024</v>
      </c>
      <c r="J7" s="1126">
        <f>' Enrol &amp; Rev'!K10</f>
        <v>2025</v>
      </c>
      <c r="K7" s="1126">
        <f>' Enrol &amp; Rev'!L10</f>
        <v>2026</v>
      </c>
      <c r="L7" s="1127">
        <f>' Enrol &amp; Rev'!M10</f>
        <v>2027</v>
      </c>
      <c r="M7" s="52"/>
      <c r="N7" s="52"/>
    </row>
    <row r="8" spans="1:26">
      <c r="F8" s="1119">
        <f>' Enrol &amp; Rev'!G11</f>
        <v>2022</v>
      </c>
      <c r="G8" s="1119">
        <f>' Enrol &amp; Rev'!H11</f>
        <v>2023</v>
      </c>
      <c r="H8" s="1120">
        <f>' Enrol &amp; Rev'!I11</f>
        <v>2024</v>
      </c>
      <c r="I8" s="1120">
        <f>' Enrol &amp; Rev'!J11</f>
        <v>2025</v>
      </c>
      <c r="J8" s="1120">
        <f>' Enrol &amp; Rev'!K11</f>
        <v>2026</v>
      </c>
      <c r="K8" s="1120">
        <f>' Enrol &amp; Rev'!L11</f>
        <v>2027</v>
      </c>
      <c r="L8" s="1121">
        <f>' Enrol &amp; Rev'!M11</f>
        <v>2028</v>
      </c>
      <c r="M8" s="52"/>
      <c r="N8" s="52"/>
    </row>
    <row r="9" spans="1:26">
      <c r="M9" s="52"/>
      <c r="N9" s="52"/>
    </row>
    <row r="10" spans="1:26">
      <c r="A10" s="546">
        <f>ROW()</f>
        <v>10</v>
      </c>
      <c r="B10" s="39" t="s">
        <v>434</v>
      </c>
      <c r="G10" s="41"/>
      <c r="H10" s="41"/>
      <c r="I10" s="41"/>
      <c r="J10" s="41"/>
      <c r="K10" s="41"/>
      <c r="L10" s="41"/>
      <c r="M10" s="52"/>
      <c r="N10" s="1813" t="s">
        <v>742</v>
      </c>
    </row>
    <row r="11" spans="1:26">
      <c r="A11" s="546">
        <f>ROW()</f>
        <v>11</v>
      </c>
      <c r="B11" s="42" t="s">
        <v>743</v>
      </c>
      <c r="G11" s="67">
        <f>' Enrol &amp; Rev'!H34</f>
        <v>180</v>
      </c>
      <c r="H11" s="67">
        <f>' Enrol &amp; Rev'!I34</f>
        <v>240</v>
      </c>
      <c r="I11" s="67">
        <f>' Enrol &amp; Rev'!J34</f>
        <v>300</v>
      </c>
      <c r="J11" s="67">
        <f>' Enrol &amp; Rev'!K34</f>
        <v>360</v>
      </c>
      <c r="K11" s="67">
        <f>' Enrol &amp; Rev'!L34</f>
        <v>360</v>
      </c>
      <c r="L11" s="67">
        <f>' Enrol &amp; Rev'!M34</f>
        <v>360</v>
      </c>
      <c r="M11" s="69"/>
      <c r="N11" s="717"/>
    </row>
    <row r="12" spans="1:26">
      <c r="A12" s="546">
        <f>ROW()</f>
        <v>12</v>
      </c>
      <c r="B12" s="80" t="s">
        <v>744</v>
      </c>
      <c r="G12" s="1384">
        <f>+Staff!H21</f>
        <v>19</v>
      </c>
      <c r="H12" s="1384">
        <f>+Staff!I21</f>
        <v>23</v>
      </c>
      <c r="I12" s="1384">
        <f>+Staff!J21</f>
        <v>30</v>
      </c>
      <c r="J12" s="1384">
        <f>+Staff!K21</f>
        <v>34</v>
      </c>
      <c r="K12" s="1384">
        <f>+Staff!L21</f>
        <v>34</v>
      </c>
      <c r="L12" s="1384">
        <f>+Staff!M21</f>
        <v>35</v>
      </c>
      <c r="M12" s="69"/>
      <c r="N12" s="717"/>
    </row>
    <row r="13" spans="1:26">
      <c r="A13" s="546">
        <f>ROW()</f>
        <v>13</v>
      </c>
      <c r="B13" s="80"/>
      <c r="M13" s="52"/>
      <c r="N13" s="541"/>
    </row>
    <row r="14" spans="1:26">
      <c r="A14" s="546">
        <f>ROW()</f>
        <v>14</v>
      </c>
      <c r="B14" s="42" t="s">
        <v>745</v>
      </c>
      <c r="C14" s="70"/>
      <c r="F14" s="515"/>
      <c r="G14" s="1059">
        <v>1</v>
      </c>
      <c r="H14" s="1059">
        <v>1</v>
      </c>
      <c r="I14" s="1059">
        <v>1</v>
      </c>
      <c r="J14" s="1059">
        <v>2</v>
      </c>
      <c r="K14" s="1059">
        <v>2</v>
      </c>
      <c r="L14" s="1059">
        <v>2</v>
      </c>
      <c r="M14" s="52"/>
      <c r="N14" s="541"/>
    </row>
    <row r="15" spans="1:26">
      <c r="A15" s="546">
        <f>ROW()</f>
        <v>15</v>
      </c>
      <c r="B15" s="46" t="s">
        <v>746</v>
      </c>
      <c r="C15" s="70"/>
      <c r="F15" s="515"/>
      <c r="G15" s="1059">
        <v>3000</v>
      </c>
      <c r="H15" s="1059">
        <v>0</v>
      </c>
      <c r="I15" s="1059">
        <v>0</v>
      </c>
      <c r="J15" s="1059">
        <v>3000</v>
      </c>
      <c r="K15" s="1059">
        <v>0</v>
      </c>
      <c r="L15" s="1059">
        <v>0</v>
      </c>
      <c r="M15" s="52"/>
      <c r="N15" s="541" t="s">
        <v>1274</v>
      </c>
    </row>
    <row r="16" spans="1:26">
      <c r="A16" s="546">
        <f>ROW()</f>
        <v>16</v>
      </c>
      <c r="B16" s="46" t="s">
        <v>747</v>
      </c>
      <c r="C16" s="1240">
        <v>0</v>
      </c>
      <c r="D16" s="46" t="s">
        <v>301</v>
      </c>
      <c r="F16" s="515"/>
      <c r="G16" s="1060">
        <f t="shared" ref="G16:L16" si="0">$C$16*G11</f>
        <v>0</v>
      </c>
      <c r="H16" s="1060">
        <f t="shared" si="0"/>
        <v>0</v>
      </c>
      <c r="I16" s="1060">
        <f t="shared" si="0"/>
        <v>0</v>
      </c>
      <c r="J16" s="1060">
        <f t="shared" si="0"/>
        <v>0</v>
      </c>
      <c r="K16" s="1060">
        <f t="shared" si="0"/>
        <v>0</v>
      </c>
      <c r="L16" s="1060">
        <f t="shared" si="0"/>
        <v>0</v>
      </c>
      <c r="M16" s="52"/>
      <c r="N16" s="541"/>
    </row>
    <row r="17" spans="1:14">
      <c r="A17" s="546">
        <f>ROW()</f>
        <v>17</v>
      </c>
      <c r="B17" s="46" t="s">
        <v>748</v>
      </c>
      <c r="C17" s="1240">
        <v>450</v>
      </c>
      <c r="D17" s="46" t="s">
        <v>749</v>
      </c>
      <c r="F17" s="515"/>
      <c r="G17" s="1060">
        <f>IF($C$17*(Staff!H21-Staff!G21)&gt;0,$C$17*(Staff!H21-Staff!G21),0)</f>
        <v>8550</v>
      </c>
      <c r="H17" s="1060">
        <f>IF($C$17*(Staff!I21-Staff!H21)&gt;0,$C$17*(Staff!I21-Staff!H21),0)</f>
        <v>1800</v>
      </c>
      <c r="I17" s="1060">
        <f>IF($C$17*(Staff!J21-Staff!I21)&gt;0,$C$17*(Staff!J21-Staff!I21),0)</f>
        <v>3150</v>
      </c>
      <c r="J17" s="1060">
        <f>IF($C$17*(Staff!K21-Staff!J21)&gt;0,$C$17*(Staff!K21-Staff!J21),0)</f>
        <v>1800</v>
      </c>
      <c r="K17" s="1060">
        <f>IF($C$17*(Staff!L21-Staff!K21)&gt;0,$C$17*(Staff!L21-Staff!K21),0)</f>
        <v>0</v>
      </c>
      <c r="L17" s="1060">
        <f>IF($C$17*(Staff!M21-Staff!L21)&gt;0,$C$17*(Staff!M21-Staff!L21),0)</f>
        <v>450</v>
      </c>
      <c r="M17" s="52"/>
      <c r="N17" s="541"/>
    </row>
    <row r="18" spans="1:14">
      <c r="A18" s="546">
        <f>ROW()</f>
        <v>18</v>
      </c>
      <c r="B18" s="46" t="s">
        <v>750</v>
      </c>
      <c r="C18" s="1240">
        <v>0</v>
      </c>
      <c r="F18" s="515"/>
      <c r="G18" s="1060"/>
      <c r="H18" s="1060"/>
      <c r="I18" s="1060"/>
      <c r="J18" s="1060">
        <v>7875</v>
      </c>
      <c r="K18" s="1060"/>
      <c r="L18" s="1060"/>
      <c r="M18" s="52"/>
      <c r="N18" s="541" t="s">
        <v>1302</v>
      </c>
    </row>
    <row r="19" spans="1:14">
      <c r="A19" s="546">
        <f>ROW()</f>
        <v>19</v>
      </c>
      <c r="B19" s="46" t="s">
        <v>751</v>
      </c>
      <c r="C19" s="1240">
        <v>380</v>
      </c>
      <c r="F19" s="515"/>
      <c r="G19" s="1060">
        <f>$C$19*(G11)</f>
        <v>68400</v>
      </c>
      <c r="H19" s="1060">
        <f>IF($C$19*(H11-G11)&gt;0,$C$19*(H11-G11),0)</f>
        <v>22800</v>
      </c>
      <c r="I19" s="1060">
        <f t="shared" ref="I19:L19" si="1">IF($C$19*(I11-H11)&gt;0,$C$19*(I11-H11),0)</f>
        <v>22800</v>
      </c>
      <c r="J19" s="1060">
        <f t="shared" si="1"/>
        <v>22800</v>
      </c>
      <c r="K19" s="1060">
        <f t="shared" si="1"/>
        <v>0</v>
      </c>
      <c r="L19" s="1060">
        <f t="shared" si="1"/>
        <v>0</v>
      </c>
      <c r="M19" s="52"/>
      <c r="N19" s="541"/>
    </row>
    <row r="20" spans="1:14">
      <c r="A20" s="546">
        <f>ROW()</f>
        <v>20</v>
      </c>
      <c r="B20" s="46" t="s">
        <v>752</v>
      </c>
      <c r="C20" s="1240">
        <v>0</v>
      </c>
      <c r="F20" s="515"/>
      <c r="G20" s="1060"/>
      <c r="H20" s="1060"/>
      <c r="I20" s="1060"/>
      <c r="J20" s="1060"/>
      <c r="K20" s="1060"/>
      <c r="L20" s="1060"/>
      <c r="M20" s="52"/>
      <c r="N20" s="541"/>
    </row>
    <row r="21" spans="1:14">
      <c r="A21" s="546">
        <f>ROW()</f>
        <v>21</v>
      </c>
      <c r="B21" s="46" t="s">
        <v>753</v>
      </c>
      <c r="C21" s="1240">
        <v>0</v>
      </c>
      <c r="F21" s="515"/>
      <c r="G21" s="1060"/>
      <c r="H21" s="1060"/>
      <c r="I21" s="1060"/>
      <c r="J21" s="1060"/>
      <c r="K21" s="1060"/>
      <c r="L21" s="1060"/>
      <c r="M21" s="52"/>
      <c r="N21" s="541"/>
    </row>
    <row r="22" spans="1:14">
      <c r="A22" s="546">
        <f>ROW()</f>
        <v>22</v>
      </c>
      <c r="B22" s="46" t="s">
        <v>754</v>
      </c>
      <c r="C22" s="1240">
        <v>0</v>
      </c>
      <c r="D22" s="46" t="s">
        <v>755</v>
      </c>
      <c r="F22" s="515"/>
      <c r="G22" s="1060">
        <f>IF($C$22*(Staff!H21-Staff!G21)&gt;0,$C$22*(Staff!H21-Staff!G21),0)</f>
        <v>0</v>
      </c>
      <c r="H22" s="1060">
        <f>IF($C$22*(Staff!I21-Staff!H21)&gt;0,$C$22*(Staff!I21-Staff!H21),0)</f>
        <v>0</v>
      </c>
      <c r="I22" s="1060">
        <f>IF($C$22*(Staff!J21-Staff!I21)&gt;0,$C$22*(Staff!J21-Staff!I21),0)</f>
        <v>0</v>
      </c>
      <c r="J22" s="1060">
        <f>IF($C$22*(Staff!K21-Staff!J21)&gt;0,$C$22*(Staff!K21-Staff!J21),0)</f>
        <v>0</v>
      </c>
      <c r="K22" s="1060">
        <f>IF($C$22*(Staff!L21-Staff!K21)&gt;0,$C$22*(Staff!L21-Staff!K21),0)</f>
        <v>0</v>
      </c>
      <c r="L22" s="1060">
        <f>IF($C$22*(Staff!M21-Staff!L21)&gt;0,$C$22*(Staff!M21-Staff!L21),0)</f>
        <v>0</v>
      </c>
      <c r="M22" s="52"/>
      <c r="N22" s="541" t="s">
        <v>1275</v>
      </c>
    </row>
    <row r="23" spans="1:14">
      <c r="A23" s="546">
        <f>ROW()</f>
        <v>23</v>
      </c>
      <c r="B23" s="46" t="s">
        <v>756</v>
      </c>
      <c r="C23" s="1240">
        <v>0</v>
      </c>
      <c r="D23" s="46" t="s">
        <v>590</v>
      </c>
      <c r="F23" s="515"/>
      <c r="G23" s="1060">
        <f>($C$23*12)*Staff!H21</f>
        <v>0</v>
      </c>
      <c r="H23" s="1060">
        <f>($C$23*12)*Staff!I21</f>
        <v>0</v>
      </c>
      <c r="I23" s="1060">
        <f>($C$23*12)*Staff!J21</f>
        <v>0</v>
      </c>
      <c r="J23" s="1060">
        <f>($C$23*12)*Staff!K21</f>
        <v>0</v>
      </c>
      <c r="K23" s="1060">
        <f>($C$23*12)*Staff!L21</f>
        <v>0</v>
      </c>
      <c r="L23" s="1060">
        <f>($C$23*12)*Staff!M21</f>
        <v>0</v>
      </c>
      <c r="M23" s="52"/>
      <c r="N23" s="541"/>
    </row>
    <row r="24" spans="1:14">
      <c r="A24" s="546">
        <f>ROW()</f>
        <v>24</v>
      </c>
      <c r="B24" s="46" t="s">
        <v>757</v>
      </c>
      <c r="C24" s="758"/>
      <c r="F24" s="515"/>
      <c r="G24" s="1060"/>
      <c r="H24" s="1060"/>
      <c r="I24" s="1060"/>
      <c r="J24" s="1060"/>
      <c r="K24" s="1060"/>
      <c r="L24" s="1060"/>
      <c r="M24" s="52"/>
      <c r="N24" s="541"/>
    </row>
    <row r="25" spans="1:14">
      <c r="A25" s="546">
        <f>ROW()</f>
        <v>25</v>
      </c>
      <c r="B25" s="46" t="s">
        <v>758</v>
      </c>
      <c r="C25" s="758"/>
      <c r="D25" s="58"/>
      <c r="E25" s="58"/>
      <c r="F25" s="515"/>
      <c r="G25" s="1060"/>
      <c r="H25" s="1060"/>
      <c r="I25" s="1060"/>
      <c r="J25" s="1060"/>
      <c r="K25" s="1060"/>
      <c r="L25" s="1060"/>
      <c r="M25" s="52"/>
      <c r="N25" s="541"/>
    </row>
    <row r="26" spans="1:14">
      <c r="A26" s="546">
        <f>ROW()</f>
        <v>26</v>
      </c>
      <c r="B26" s="46" t="s">
        <v>759</v>
      </c>
      <c r="C26" s="1240">
        <v>2018</v>
      </c>
      <c r="D26" s="58" t="s">
        <v>760</v>
      </c>
      <c r="E26" s="58"/>
      <c r="F26" s="515"/>
      <c r="G26" s="1060">
        <f>' Enrol &amp; Rev'!H17*'FFE&amp;T'!C26</f>
        <v>18162</v>
      </c>
      <c r="H26" s="1060">
        <f>$C$26*(' Enrol &amp; Rev'!I17-' Enrol &amp; Rev'!H17)</f>
        <v>6054</v>
      </c>
      <c r="I26" s="1060">
        <f>$C$26*(' Enrol &amp; Rev'!J17-' Enrol &amp; Rev'!I17)</f>
        <v>6054</v>
      </c>
      <c r="J26" s="1060">
        <f>$C$26*(' Enrol &amp; Rev'!K17-' Enrol &amp; Rev'!J17)</f>
        <v>6054</v>
      </c>
      <c r="K26" s="1060">
        <f>$C$26*(' Enrol &amp; Rev'!L17-' Enrol &amp; Rev'!K17)</f>
        <v>0</v>
      </c>
      <c r="L26" s="1060">
        <f>$C$26*(' Enrol &amp; Rev'!M17-' Enrol &amp; Rev'!L17)</f>
        <v>0</v>
      </c>
      <c r="M26" s="52"/>
      <c r="N26" s="541" t="s">
        <v>1276</v>
      </c>
    </row>
    <row r="27" spans="1:14">
      <c r="A27" s="546">
        <f>ROW()</f>
        <v>27</v>
      </c>
      <c r="B27" s="46" t="s">
        <v>761</v>
      </c>
      <c r="C27" s="1240">
        <v>175</v>
      </c>
      <c r="D27" s="58" t="s">
        <v>301</v>
      </c>
      <c r="E27" s="58"/>
      <c r="F27" s="515"/>
      <c r="G27" s="1060">
        <f t="shared" ref="G27:L27" si="2">$C$27*G11</f>
        <v>31500</v>
      </c>
      <c r="H27" s="1060">
        <f t="shared" si="2"/>
        <v>42000</v>
      </c>
      <c r="I27" s="1060">
        <f t="shared" si="2"/>
        <v>52500</v>
      </c>
      <c r="J27" s="1060">
        <f t="shared" si="2"/>
        <v>63000</v>
      </c>
      <c r="K27" s="1060">
        <f t="shared" si="2"/>
        <v>63000</v>
      </c>
      <c r="L27" s="1060">
        <f t="shared" si="2"/>
        <v>63000</v>
      </c>
      <c r="M27" s="52"/>
      <c r="N27" s="541" t="s">
        <v>1277</v>
      </c>
    </row>
    <row r="28" spans="1:14">
      <c r="A28" s="546">
        <f>ROW()</f>
        <v>28</v>
      </c>
      <c r="B28" s="46" t="s">
        <v>762</v>
      </c>
      <c r="C28" s="1240">
        <v>1500</v>
      </c>
      <c r="D28" s="46" t="s">
        <v>590</v>
      </c>
      <c r="F28" s="515"/>
      <c r="G28" s="1060">
        <f t="shared" ref="G28:L28" si="3">$C$28*12</f>
        <v>18000</v>
      </c>
      <c r="H28" s="1060">
        <f t="shared" si="3"/>
        <v>18000</v>
      </c>
      <c r="I28" s="1060">
        <f t="shared" si="3"/>
        <v>18000</v>
      </c>
      <c r="J28" s="1060">
        <f t="shared" si="3"/>
        <v>18000</v>
      </c>
      <c r="K28" s="1060">
        <f t="shared" si="3"/>
        <v>18000</v>
      </c>
      <c r="L28" s="1060">
        <f t="shared" si="3"/>
        <v>18000</v>
      </c>
      <c r="M28" s="52"/>
      <c r="N28" s="541"/>
    </row>
    <row r="29" spans="1:14">
      <c r="A29" s="546">
        <f>ROW()</f>
        <v>29</v>
      </c>
      <c r="B29" s="46" t="s">
        <v>763</v>
      </c>
      <c r="C29" s="1240">
        <v>959</v>
      </c>
      <c r="D29" s="46" t="s">
        <v>590</v>
      </c>
      <c r="F29" s="515"/>
      <c r="G29" s="1060">
        <f t="shared" ref="G29:L29" si="4">$C$29*12</f>
        <v>11508</v>
      </c>
      <c r="H29" s="1060">
        <f t="shared" si="4"/>
        <v>11508</v>
      </c>
      <c r="I29" s="1060">
        <f t="shared" si="4"/>
        <v>11508</v>
      </c>
      <c r="J29" s="1060">
        <f t="shared" si="4"/>
        <v>11508</v>
      </c>
      <c r="K29" s="1060">
        <f t="shared" si="4"/>
        <v>11508</v>
      </c>
      <c r="L29" s="1060">
        <f t="shared" si="4"/>
        <v>11508</v>
      </c>
      <c r="M29" s="52"/>
      <c r="N29" s="541" t="s">
        <v>1278</v>
      </c>
    </row>
    <row r="30" spans="1:14" ht="30">
      <c r="A30" s="546">
        <f>ROW()</f>
        <v>30</v>
      </c>
      <c r="B30" s="629" t="s">
        <v>764</v>
      </c>
      <c r="C30" s="758"/>
      <c r="F30" s="515"/>
      <c r="G30" s="255">
        <v>0</v>
      </c>
      <c r="H30" s="255">
        <v>0</v>
      </c>
      <c r="I30" s="255">
        <v>0</v>
      </c>
      <c r="J30" s="255">
        <v>0</v>
      </c>
      <c r="K30" s="255">
        <v>0</v>
      </c>
      <c r="L30" s="255">
        <v>0</v>
      </c>
      <c r="M30" s="52"/>
      <c r="N30" s="541"/>
    </row>
    <row r="31" spans="1:14">
      <c r="A31" s="546">
        <f>ROW()</f>
        <v>31</v>
      </c>
      <c r="B31" s="46" t="s">
        <v>765</v>
      </c>
      <c r="C31" s="1240">
        <v>0</v>
      </c>
      <c r="D31" s="46" t="s">
        <v>766</v>
      </c>
      <c r="F31" s="515"/>
      <c r="G31" s="255">
        <v>0</v>
      </c>
      <c r="H31" s="255">
        <v>0</v>
      </c>
      <c r="I31" s="255">
        <v>0</v>
      </c>
      <c r="J31" s="255">
        <v>0</v>
      </c>
      <c r="K31" s="255">
        <v>0</v>
      </c>
      <c r="L31" s="255">
        <v>0</v>
      </c>
      <c r="M31" s="52"/>
      <c r="N31" s="541"/>
    </row>
    <row r="32" spans="1:14">
      <c r="A32" s="546">
        <f>ROW()</f>
        <v>32</v>
      </c>
      <c r="B32" s="46" t="s">
        <v>767</v>
      </c>
      <c r="C32" s="1240">
        <v>0</v>
      </c>
      <c r="D32" s="46" t="s">
        <v>590</v>
      </c>
      <c r="F32" s="515"/>
      <c r="G32" s="1060">
        <f t="shared" ref="G32:L32" si="5">$C$32*12</f>
        <v>0</v>
      </c>
      <c r="H32" s="1060">
        <f t="shared" si="5"/>
        <v>0</v>
      </c>
      <c r="I32" s="1060">
        <f t="shared" si="5"/>
        <v>0</v>
      </c>
      <c r="J32" s="1060">
        <f t="shared" si="5"/>
        <v>0</v>
      </c>
      <c r="K32" s="1060">
        <f t="shared" si="5"/>
        <v>0</v>
      </c>
      <c r="L32" s="1060">
        <f t="shared" si="5"/>
        <v>0</v>
      </c>
      <c r="M32" s="52"/>
      <c r="N32" s="541"/>
    </row>
    <row r="33" spans="1:14">
      <c r="A33" s="546">
        <f>ROW()</f>
        <v>33</v>
      </c>
      <c r="B33" s="46" t="s">
        <v>768</v>
      </c>
      <c r="C33" s="1240">
        <v>300</v>
      </c>
      <c r="D33" s="46" t="s">
        <v>607</v>
      </c>
      <c r="F33" s="515"/>
      <c r="G33" s="1060">
        <f>IF($C$33*(Staff!H21-Staff!G21)&gt;0,$C$33*(Staff!H21-Staff!G21),0)</f>
        <v>5700</v>
      </c>
      <c r="H33" s="1060">
        <f>IF($C$33*(Staff!I21-Staff!H21)&gt;0,$C$33*(Staff!I21-Staff!H21),0)</f>
        <v>1200</v>
      </c>
      <c r="I33" s="1060">
        <f>IF($C$33*(Staff!J21-Staff!I21)&gt;0,$C$33*(Staff!J21-Staff!I21),0)</f>
        <v>2100</v>
      </c>
      <c r="J33" s="1060">
        <f>IF($C$33*(Staff!K21-Staff!J21)&gt;0,$C$33*(Staff!K21-Staff!J21),0)</f>
        <v>1200</v>
      </c>
      <c r="K33" s="1060">
        <f>IF($C$33*(Staff!L21-Staff!K21)&gt;0,$C$33*(Staff!L21-Staff!K21),0)</f>
        <v>0</v>
      </c>
      <c r="L33" s="1060">
        <f>IF($C$33*(Staff!M21-Staff!L21)&gt;0,$C$33*(Staff!M21-Staff!L21),0)</f>
        <v>300</v>
      </c>
      <c r="M33" s="52"/>
      <c r="N33" s="541" t="s">
        <v>1279</v>
      </c>
    </row>
    <row r="34" spans="1:14">
      <c r="A34" s="546">
        <f>ROW()</f>
        <v>34</v>
      </c>
      <c r="B34" s="46" t="s">
        <v>769</v>
      </c>
      <c r="C34" s="1240">
        <v>240</v>
      </c>
      <c r="D34" s="46" t="s">
        <v>565</v>
      </c>
      <c r="F34" s="515"/>
      <c r="G34" s="1060">
        <f>$C$34*Staff!H21</f>
        <v>4560</v>
      </c>
      <c r="H34" s="1060">
        <f>$C$34*Staff!I21</f>
        <v>5520</v>
      </c>
      <c r="I34" s="1060">
        <f>$C$34*Staff!J21</f>
        <v>7200</v>
      </c>
      <c r="J34" s="1060">
        <f>$C$34*Staff!K21</f>
        <v>8160</v>
      </c>
      <c r="K34" s="1060">
        <f>$C$34*Staff!L21</f>
        <v>8160</v>
      </c>
      <c r="L34" s="1060">
        <f>$C$34*Staff!M21</f>
        <v>8400</v>
      </c>
      <c r="M34" s="52"/>
      <c r="N34" s="541" t="s">
        <v>1280</v>
      </c>
    </row>
    <row r="35" spans="1:14">
      <c r="A35" s="546">
        <f>ROW()</f>
        <v>35</v>
      </c>
      <c r="B35" s="46" t="s">
        <v>770</v>
      </c>
      <c r="C35" s="1240">
        <v>400</v>
      </c>
      <c r="D35" s="46" t="s">
        <v>607</v>
      </c>
      <c r="F35" s="515"/>
      <c r="G35" s="1060">
        <f>IF($C$35*(Staff!H21-Staff!G21)&gt;0,$C$35*(Staff!H21-Staff!G21),0)</f>
        <v>7600</v>
      </c>
      <c r="H35" s="1060">
        <f>IF($C$35*(Staff!I21-Staff!H21)&gt;0,$C$35*(Staff!I21-Staff!H21),0)</f>
        <v>1600</v>
      </c>
      <c r="I35" s="1060">
        <f>IF($C$35*(Staff!J21-Staff!I21)&gt;0,$C$35*(Staff!J21-Staff!I21),0)</f>
        <v>2800</v>
      </c>
      <c r="J35" s="1060">
        <f>IF($C$35*(Staff!K21-Staff!J21)&gt;0,$C$35*(Staff!K21-Staff!J21),0)</f>
        <v>1600</v>
      </c>
      <c r="K35" s="1060">
        <f>IF($C$35*(Staff!L21-Staff!K21)&gt;0,$C$35*(Staff!L21-Staff!K21),0)</f>
        <v>0</v>
      </c>
      <c r="L35" s="1060">
        <f>IF($C$35*(Staff!M21-Staff!L21)&gt;0,$C$35*(Staff!M21-Staff!L21),0)</f>
        <v>400</v>
      </c>
      <c r="M35" s="52"/>
      <c r="N35" s="541"/>
    </row>
    <row r="36" spans="1:14">
      <c r="A36" s="546">
        <f>ROW()</f>
        <v>36</v>
      </c>
      <c r="B36" s="58" t="s">
        <v>771</v>
      </c>
      <c r="C36" s="1240">
        <v>300</v>
      </c>
      <c r="D36" s="58" t="s">
        <v>592</v>
      </c>
      <c r="E36" s="58"/>
      <c r="F36" s="515"/>
      <c r="G36" s="1060">
        <f>$C$36*' Enrol &amp; Rev'!H34</f>
        <v>54000</v>
      </c>
      <c r="H36" s="1060">
        <f>IF($C$36*(' Enrol &amp; Rev'!I34-' Enrol &amp; Rev'!H34)&gt;0,$C$36*(' Enrol &amp; Rev'!I34-' Enrol &amp; Rev'!H34),0)</f>
        <v>18000</v>
      </c>
      <c r="I36" s="1060">
        <f>IF($C$36*(' Enrol &amp; Rev'!J34-' Enrol &amp; Rev'!I34)&gt;0,$C$36*(' Enrol &amp; Rev'!J34-' Enrol &amp; Rev'!I34),0)</f>
        <v>18000</v>
      </c>
      <c r="J36" s="1060">
        <f>IF($C$36*(' Enrol &amp; Rev'!K34-' Enrol &amp; Rev'!J34)&gt;0,$C$36*(' Enrol &amp; Rev'!K34-' Enrol &amp; Rev'!J34),0)</f>
        <v>18000</v>
      </c>
      <c r="K36" s="1060">
        <f>IF($C$36*(' Enrol &amp; Rev'!L34-' Enrol &amp; Rev'!K34)&gt;0,$C$36*(' Enrol &amp; Rev'!L34-' Enrol &amp; Rev'!K34),0)</f>
        <v>0</v>
      </c>
      <c r="L36" s="1060">
        <f>IF($C$36*(' Enrol &amp; Rev'!M34-' Enrol &amp; Rev'!L34)&gt;0,$C$36*(' Enrol &amp; Rev'!M34-' Enrol &amp; Rev'!L34),0)</f>
        <v>0</v>
      </c>
      <c r="M36" s="52"/>
      <c r="N36" s="541"/>
    </row>
    <row r="37" spans="1:14" ht="15.75" thickBot="1">
      <c r="A37" s="546">
        <f>ROW()</f>
        <v>37</v>
      </c>
      <c r="B37" s="58"/>
      <c r="C37" s="58"/>
      <c r="D37" s="58"/>
      <c r="E37" s="58"/>
      <c r="F37" s="58"/>
      <c r="G37" s="74"/>
      <c r="H37" s="74"/>
      <c r="I37" s="74"/>
      <c r="J37" s="74"/>
      <c r="K37" s="74"/>
      <c r="L37" s="74"/>
      <c r="M37" s="52"/>
      <c r="N37" s="541"/>
    </row>
    <row r="38" spans="1:14" ht="30" thickBot="1">
      <c r="A38" s="546">
        <f>ROW()</f>
        <v>38</v>
      </c>
      <c r="B38" s="1134" t="s">
        <v>772</v>
      </c>
      <c r="C38" s="1135">
        <f>SUM(G38:L38)</f>
        <v>869297</v>
      </c>
      <c r="D38" s="1136"/>
      <c r="E38" s="1136"/>
      <c r="F38" s="1137">
        <f t="shared" ref="F38:L38" si="6">SUM(F15:F37)</f>
        <v>0</v>
      </c>
      <c r="G38" s="1137">
        <f t="shared" si="6"/>
        <v>230980</v>
      </c>
      <c r="H38" s="1137">
        <f t="shared" si="6"/>
        <v>128482</v>
      </c>
      <c r="I38" s="1137">
        <f t="shared" si="6"/>
        <v>144112</v>
      </c>
      <c r="J38" s="1137">
        <f t="shared" si="6"/>
        <v>162997</v>
      </c>
      <c r="K38" s="1137">
        <f t="shared" si="6"/>
        <v>100668</v>
      </c>
      <c r="L38" s="1137">
        <f t="shared" si="6"/>
        <v>102058</v>
      </c>
      <c r="M38" s="52"/>
      <c r="N38" s="541"/>
    </row>
    <row r="39" spans="1:14">
      <c r="A39" s="546">
        <f>ROW()</f>
        <v>39</v>
      </c>
      <c r="B39" s="123"/>
      <c r="N39" s="541"/>
    </row>
    <row r="40" spans="1:14">
      <c r="A40" s="546">
        <f>ROW()</f>
        <v>40</v>
      </c>
      <c r="B40" s="305" t="s">
        <v>773</v>
      </c>
      <c r="N40" s="541"/>
    </row>
    <row r="41" spans="1:14">
      <c r="A41" s="546">
        <f>ROW()</f>
        <v>41</v>
      </c>
      <c r="B41" s="541" t="s">
        <v>1281</v>
      </c>
      <c r="C41" s="545"/>
      <c r="D41" s="545"/>
      <c r="E41" s="545"/>
      <c r="F41" s="545"/>
      <c r="G41" s="545"/>
      <c r="H41" s="545"/>
      <c r="I41" s="545"/>
      <c r="J41" s="545"/>
      <c r="K41" s="545"/>
      <c r="L41" s="545"/>
      <c r="N41" s="541"/>
    </row>
    <row r="42" spans="1:14">
      <c r="A42" s="546">
        <f>ROW()</f>
        <v>42</v>
      </c>
      <c r="B42" s="541" t="s">
        <v>1282</v>
      </c>
      <c r="C42" s="545"/>
      <c r="D42" s="545"/>
      <c r="E42" s="545"/>
      <c r="F42" s="545"/>
      <c r="G42" s="545"/>
      <c r="H42" s="545"/>
      <c r="I42" s="545"/>
      <c r="J42" s="545"/>
      <c r="K42" s="545"/>
      <c r="L42" s="545"/>
      <c r="N42" s="541"/>
    </row>
    <row r="43" spans="1:14">
      <c r="A43" s="546">
        <f>ROW()</f>
        <v>43</v>
      </c>
      <c r="B43" s="541"/>
      <c r="C43" s="545"/>
      <c r="D43" s="545"/>
      <c r="E43" s="545"/>
      <c r="F43" s="545"/>
      <c r="G43" s="545"/>
      <c r="H43" s="545"/>
      <c r="I43" s="545"/>
      <c r="J43" s="545"/>
      <c r="K43" s="545"/>
      <c r="L43" s="545"/>
      <c r="N43" s="541"/>
    </row>
    <row r="44" spans="1:14">
      <c r="A44" s="546">
        <f>ROW()</f>
        <v>44</v>
      </c>
      <c r="B44" s="541"/>
      <c r="C44" s="545"/>
      <c r="D44" s="545"/>
      <c r="E44" s="545"/>
      <c r="F44" s="545"/>
      <c r="G44" s="545"/>
      <c r="H44" s="545"/>
      <c r="I44" s="545"/>
      <c r="J44" s="545"/>
      <c r="K44" s="545"/>
      <c r="L44" s="545"/>
      <c r="N44" s="541"/>
    </row>
    <row r="45" spans="1:14">
      <c r="A45" s="546">
        <f>ROW()</f>
        <v>45</v>
      </c>
      <c r="B45" s="541"/>
      <c r="C45" s="545"/>
      <c r="D45" s="545"/>
      <c r="E45" s="545"/>
      <c r="F45" s="545"/>
      <c r="G45" s="545"/>
      <c r="H45" s="545"/>
      <c r="I45" s="545"/>
      <c r="J45" s="545"/>
      <c r="K45" s="545"/>
      <c r="L45" s="545"/>
      <c r="N45" s="541"/>
    </row>
    <row r="46" spans="1:14">
      <c r="A46" s="546">
        <f>ROW()</f>
        <v>46</v>
      </c>
      <c r="B46" s="541"/>
      <c r="C46" s="545"/>
      <c r="D46" s="545"/>
      <c r="E46" s="545"/>
      <c r="F46" s="545"/>
      <c r="G46" s="545"/>
      <c r="H46" s="545"/>
      <c r="I46" s="545"/>
      <c r="J46" s="545"/>
      <c r="K46" s="545"/>
      <c r="L46" s="545"/>
      <c r="N46" s="541"/>
    </row>
    <row r="47" spans="1:14">
      <c r="A47" s="546">
        <f>ROW()</f>
        <v>47</v>
      </c>
      <c r="B47" s="541"/>
      <c r="C47" s="545"/>
      <c r="D47" s="545"/>
      <c r="E47" s="545"/>
      <c r="F47" s="545"/>
      <c r="G47" s="545"/>
      <c r="H47" s="545"/>
      <c r="I47" s="545"/>
      <c r="J47" s="545"/>
      <c r="K47" s="545"/>
      <c r="L47" s="545"/>
      <c r="N47" s="541"/>
    </row>
    <row r="48" spans="1:14">
      <c r="A48" s="546">
        <f>ROW()</f>
        <v>48</v>
      </c>
      <c r="B48" s="541"/>
      <c r="C48" s="545"/>
      <c r="D48" s="545"/>
      <c r="E48" s="545"/>
      <c r="F48" s="545"/>
      <c r="G48" s="545"/>
      <c r="H48" s="545"/>
      <c r="I48" s="545"/>
      <c r="J48" s="545"/>
      <c r="K48" s="545"/>
      <c r="L48" s="545"/>
      <c r="N48" s="541"/>
    </row>
    <row r="49" spans="1:14">
      <c r="A49" s="546">
        <f>ROW()</f>
        <v>49</v>
      </c>
      <c r="B49" s="541"/>
      <c r="C49" s="545"/>
      <c r="D49" s="545"/>
      <c r="E49" s="545"/>
      <c r="F49" s="545"/>
      <c r="G49" s="545"/>
      <c r="H49" s="545"/>
      <c r="I49" s="545"/>
      <c r="J49" s="545"/>
      <c r="K49" s="545"/>
      <c r="L49" s="545"/>
      <c r="N49" s="541"/>
    </row>
    <row r="50" spans="1:14">
      <c r="A50" s="546">
        <f>ROW()</f>
        <v>50</v>
      </c>
      <c r="B50" s="541"/>
      <c r="C50" s="545"/>
      <c r="D50" s="545"/>
      <c r="E50" s="545"/>
      <c r="F50" s="545"/>
      <c r="G50" s="545"/>
      <c r="H50" s="545"/>
      <c r="I50" s="545"/>
      <c r="J50" s="545"/>
      <c r="K50" s="545"/>
      <c r="L50" s="545"/>
      <c r="N50" s="541"/>
    </row>
    <row r="51" spans="1:14">
      <c r="A51" s="546">
        <f>ROW()</f>
        <v>51</v>
      </c>
      <c r="N51" s="541"/>
    </row>
    <row r="52" spans="1:14">
      <c r="A52" s="546">
        <f>ROW()</f>
        <v>52</v>
      </c>
      <c r="N52" s="541"/>
    </row>
    <row r="53" spans="1:14">
      <c r="A53" s="546">
        <f>ROW()</f>
        <v>53</v>
      </c>
      <c r="F53" s="1122" t="str">
        <f t="shared" ref="F53:L55" si="7">F6</f>
        <v>SY 0/Incu</v>
      </c>
      <c r="G53" s="1123">
        <f t="shared" si="7"/>
        <v>1</v>
      </c>
      <c r="H53" s="1123">
        <f t="shared" si="7"/>
        <v>2</v>
      </c>
      <c r="I53" s="1123">
        <f t="shared" si="7"/>
        <v>3</v>
      </c>
      <c r="J53" s="1123">
        <f t="shared" si="7"/>
        <v>4</v>
      </c>
      <c r="K53" s="1123">
        <f t="shared" si="7"/>
        <v>5</v>
      </c>
      <c r="L53" s="1124">
        <f t="shared" si="7"/>
        <v>6</v>
      </c>
      <c r="N53" s="541"/>
    </row>
    <row r="54" spans="1:14">
      <c r="A54" s="546">
        <f>ROW()</f>
        <v>54</v>
      </c>
      <c r="F54" s="1125">
        <f t="shared" si="7"/>
        <v>2021</v>
      </c>
      <c r="G54" s="1125">
        <f t="shared" si="7"/>
        <v>2022</v>
      </c>
      <c r="H54" s="1126">
        <f t="shared" si="7"/>
        <v>2023</v>
      </c>
      <c r="I54" s="1126">
        <f t="shared" si="7"/>
        <v>2024</v>
      </c>
      <c r="J54" s="1126">
        <f t="shared" si="7"/>
        <v>2025</v>
      </c>
      <c r="K54" s="1126">
        <f t="shared" si="7"/>
        <v>2026</v>
      </c>
      <c r="L54" s="1127">
        <f t="shared" si="7"/>
        <v>2027</v>
      </c>
      <c r="N54" s="541"/>
    </row>
    <row r="55" spans="1:14">
      <c r="A55" s="546">
        <f>ROW()</f>
        <v>55</v>
      </c>
      <c r="D55" s="46" t="s">
        <v>123</v>
      </c>
      <c r="F55" s="1119">
        <f t="shared" si="7"/>
        <v>2022</v>
      </c>
      <c r="G55" s="1119">
        <f t="shared" si="7"/>
        <v>2023</v>
      </c>
      <c r="H55" s="1120">
        <f t="shared" si="7"/>
        <v>2024</v>
      </c>
      <c r="I55" s="1120">
        <f t="shared" si="7"/>
        <v>2025</v>
      </c>
      <c r="J55" s="1120">
        <f t="shared" si="7"/>
        <v>2026</v>
      </c>
      <c r="K55" s="1120">
        <f t="shared" si="7"/>
        <v>2027</v>
      </c>
      <c r="L55" s="1121">
        <f t="shared" si="7"/>
        <v>2028</v>
      </c>
      <c r="N55" s="541"/>
    </row>
    <row r="56" spans="1:14">
      <c r="A56" s="546">
        <f>ROW()</f>
        <v>56</v>
      </c>
      <c r="C56" s="80" t="s">
        <v>774</v>
      </c>
      <c r="D56" s="626">
        <f>Levers!B9</f>
        <v>1800</v>
      </c>
      <c r="E56" s="626"/>
      <c r="F56" s="626"/>
      <c r="G56" s="627">
        <f>Levers!D9</f>
        <v>180</v>
      </c>
      <c r="H56" s="627">
        <f>Levers!E9</f>
        <v>240</v>
      </c>
      <c r="I56" s="627">
        <f>Levers!F9</f>
        <v>300</v>
      </c>
      <c r="J56" s="627">
        <f>Levers!G9</f>
        <v>360</v>
      </c>
      <c r="K56" s="627">
        <f>Levers!H9</f>
        <v>360</v>
      </c>
      <c r="L56" s="627">
        <f>Levers!I9</f>
        <v>360</v>
      </c>
      <c r="N56" s="541"/>
    </row>
    <row r="57" spans="1:14">
      <c r="A57" s="546">
        <f>ROW()</f>
        <v>57</v>
      </c>
      <c r="C57" s="80" t="s">
        <v>421</v>
      </c>
      <c r="D57" s="750">
        <f>Levers!B10</f>
        <v>19744109.325277608</v>
      </c>
      <c r="E57" s="750"/>
      <c r="F57" s="750">
        <f>Levers!C10</f>
        <v>500000</v>
      </c>
      <c r="G57" s="751">
        <f>Levers!D10</f>
        <v>2248562.8718250003</v>
      </c>
      <c r="H57" s="751">
        <f>Levers!E10</f>
        <v>2518203.4592864197</v>
      </c>
      <c r="I57" s="751">
        <f>Levers!F10</f>
        <v>3122001.864325976</v>
      </c>
      <c r="J57" s="751">
        <f>Levers!G10</f>
        <v>3726926.2693655328</v>
      </c>
      <c r="K57" s="751">
        <f>Levers!H10</f>
        <v>3810720.4302373398</v>
      </c>
      <c r="L57" s="751">
        <f>Levers!I10</f>
        <v>3817694.4302373398</v>
      </c>
      <c r="N57" s="541"/>
    </row>
    <row r="58" spans="1:14">
      <c r="A58" s="546">
        <f>ROW()</f>
        <v>58</v>
      </c>
      <c r="C58" s="80" t="s">
        <v>775</v>
      </c>
      <c r="D58" s="750">
        <f>Levers!B11</f>
        <v>10968.949625154226</v>
      </c>
      <c r="E58" s="750"/>
      <c r="F58" s="752"/>
      <c r="G58" s="753">
        <f>Levers!D11</f>
        <v>12492.015954583334</v>
      </c>
      <c r="H58" s="753">
        <f>Levers!E11</f>
        <v>10492.514413693416</v>
      </c>
      <c r="I58" s="753">
        <f>Levers!F11</f>
        <v>10406.672881086586</v>
      </c>
      <c r="J58" s="753">
        <f>Levers!G11</f>
        <v>10352.572970459812</v>
      </c>
      <c r="K58" s="753">
        <f>Levers!H11</f>
        <v>10585.334528437055</v>
      </c>
      <c r="L58" s="753">
        <f>Levers!I11</f>
        <v>10604.706750659278</v>
      </c>
      <c r="N58" s="541"/>
    </row>
    <row r="59" spans="1:14">
      <c r="A59" s="546">
        <f>ROW()</f>
        <v>59</v>
      </c>
      <c r="C59" s="80" t="s">
        <v>776</v>
      </c>
      <c r="D59" s="750">
        <f>Levers!B24</f>
        <v>869297</v>
      </c>
      <c r="E59" s="750"/>
      <c r="F59" s="752">
        <f>Levers!C24</f>
        <v>0</v>
      </c>
      <c r="G59" s="753">
        <f>Levers!D24</f>
        <v>230980</v>
      </c>
      <c r="H59" s="753">
        <f>Levers!E24</f>
        <v>128482</v>
      </c>
      <c r="I59" s="753">
        <f>Levers!F24</f>
        <v>144112</v>
      </c>
      <c r="J59" s="753">
        <f>Levers!G24</f>
        <v>162997</v>
      </c>
      <c r="K59" s="753">
        <f>Levers!H24</f>
        <v>100668</v>
      </c>
      <c r="L59" s="753">
        <f>Levers!I24</f>
        <v>102058</v>
      </c>
      <c r="N59" s="541"/>
    </row>
    <row r="60" spans="1:14">
      <c r="A60" s="546">
        <f>ROW()</f>
        <v>60</v>
      </c>
      <c r="C60" s="80" t="s">
        <v>777</v>
      </c>
      <c r="D60" s="750">
        <f>Levers!B25</f>
        <v>482.94277777777779</v>
      </c>
      <c r="E60" s="750"/>
      <c r="F60" s="752"/>
      <c r="G60" s="753">
        <f>Levers!D25</f>
        <v>1283.2222222222222</v>
      </c>
      <c r="H60" s="753">
        <f>Levers!E25</f>
        <v>535.3416666666667</v>
      </c>
      <c r="I60" s="753">
        <f>Levers!F25</f>
        <v>480.37333333333333</v>
      </c>
      <c r="J60" s="753">
        <f>Levers!G25</f>
        <v>452.76944444444445</v>
      </c>
      <c r="K60" s="753">
        <f>Levers!H25</f>
        <v>279.63333333333333</v>
      </c>
      <c r="L60" s="753">
        <f>Levers!I25</f>
        <v>283.49444444444447</v>
      </c>
      <c r="N60" s="541"/>
    </row>
    <row r="61" spans="1:14" ht="29.25" customHeight="1">
      <c r="A61" s="546">
        <f>ROW()</f>
        <v>61</v>
      </c>
      <c r="C61" s="181" t="s">
        <v>778</v>
      </c>
      <c r="D61" s="750">
        <f>Levers!B26</f>
        <v>18874812.325277608</v>
      </c>
      <c r="E61" s="750"/>
      <c r="F61" s="752">
        <f>Levers!C26</f>
        <v>500000</v>
      </c>
      <c r="G61" s="753">
        <f>Levers!D26</f>
        <v>2017582.8718250003</v>
      </c>
      <c r="H61" s="753">
        <f>Levers!E26</f>
        <v>2389721.4592864197</v>
      </c>
      <c r="I61" s="753">
        <f>Levers!F26</f>
        <v>2977889.864325976</v>
      </c>
      <c r="J61" s="753">
        <f>Levers!G26</f>
        <v>3563929.2693655328</v>
      </c>
      <c r="K61" s="753">
        <f>Levers!H26</f>
        <v>3710052.4302373398</v>
      </c>
      <c r="L61" s="753">
        <f>Levers!I26</f>
        <v>3715636.4302373398</v>
      </c>
      <c r="N61" s="541"/>
    </row>
    <row r="62" spans="1:14" ht="29.25" customHeight="1">
      <c r="A62" s="546">
        <f>ROW()</f>
        <v>62</v>
      </c>
      <c r="C62" s="181" t="s">
        <v>779</v>
      </c>
      <c r="D62" s="750">
        <f>Levers!B27</f>
        <v>10486.00684737645</v>
      </c>
      <c r="E62" s="750"/>
      <c r="F62" s="752"/>
      <c r="G62" s="753">
        <f>Levers!D27</f>
        <v>11208.793732361113</v>
      </c>
      <c r="H62" s="753">
        <f>Levers!E27</f>
        <v>9957.1727470267488</v>
      </c>
      <c r="I62" s="753">
        <f>Levers!F27</f>
        <v>9926.2995477532531</v>
      </c>
      <c r="J62" s="753">
        <f>Levers!G27</f>
        <v>9899.8035260153683</v>
      </c>
      <c r="K62" s="753">
        <f>Levers!H27</f>
        <v>10305.701195103722</v>
      </c>
      <c r="L62" s="753">
        <f>Levers!I27</f>
        <v>10321.212306214833</v>
      </c>
      <c r="N62" s="541"/>
    </row>
    <row r="63" spans="1:14">
      <c r="A63" s="546">
        <f>ROW()</f>
        <v>63</v>
      </c>
      <c r="C63" s="80" t="s">
        <v>431</v>
      </c>
      <c r="D63" s="750">
        <f>Levers!B38</f>
        <v>2729019.5429767738</v>
      </c>
      <c r="E63" s="183"/>
      <c r="F63" s="752">
        <f>Levers!C38</f>
        <v>495000</v>
      </c>
      <c r="G63" s="753">
        <f>Levers!D38</f>
        <v>164773.1218250003</v>
      </c>
      <c r="H63" s="753">
        <f>Levers!E38</f>
        <v>157179.60388641959</v>
      </c>
      <c r="I63" s="753">
        <f>Levers!F38</f>
        <v>159032.43640497583</v>
      </c>
      <c r="J63" s="753">
        <f>Levers!G38</f>
        <v>514150.35120184784</v>
      </c>
      <c r="K63" s="753">
        <f>Levers!H38</f>
        <v>627259.89273383562</v>
      </c>
      <c r="L63" s="753">
        <f>Levers!I38</f>
        <v>611624.13692469383</v>
      </c>
      <c r="N63" s="541"/>
    </row>
    <row r="64" spans="1:14" ht="30.75" customHeight="1">
      <c r="A64" s="546">
        <f>ROW()</f>
        <v>64</v>
      </c>
      <c r="C64" s="181" t="s">
        <v>432</v>
      </c>
      <c r="D64" s="750">
        <f>Levers!B39</f>
        <v>1516.1219683204299</v>
      </c>
      <c r="E64" s="183"/>
      <c r="F64" s="752">
        <f>Levers!C39</f>
        <v>0</v>
      </c>
      <c r="G64" s="753">
        <f>Levers!D39</f>
        <v>915.40623236111276</v>
      </c>
      <c r="H64" s="753">
        <f>Levers!E39</f>
        <v>654.915016193415</v>
      </c>
      <c r="I64" s="753">
        <f>Levers!F39</f>
        <v>530.10812134991943</v>
      </c>
      <c r="J64" s="753">
        <f>Levers!G39</f>
        <v>1428.195420005133</v>
      </c>
      <c r="K64" s="753">
        <f>Levers!H39</f>
        <v>1742.388590927321</v>
      </c>
      <c r="L64" s="753">
        <f>Levers!I39</f>
        <v>1698.9559359019272</v>
      </c>
      <c r="N64" s="541"/>
    </row>
  </sheetData>
  <sheetProtection algorithmName="SHA-512" hashValue="KIngfJ2Sa/fT7Dw97dlDxuRn/SF9khn40Nu43xoV8JbNDnHF4A8R1Q2Z5NsI3X8pq3FXwivQmIIAEMfyAk+ywg==" saltValue="Lza8+AIWc6jTyO1MhtEZOg==" spinCount="100000" sheet="1" objects="1" scenarios="1"/>
  <mergeCells count="4">
    <mergeCell ref="F2:L2"/>
    <mergeCell ref="F3:L3"/>
    <mergeCell ref="F4:L4"/>
    <mergeCell ref="A1:B1"/>
  </mergeCells>
  <phoneticPr fontId="7" type="noConversion"/>
  <conditionalFormatting sqref="D1">
    <cfRule type="expression" dxfId="26" priority="3" stopIfTrue="1">
      <formula>MOD(ROW(),2)=0</formula>
    </cfRule>
  </conditionalFormatting>
  <conditionalFormatting sqref="O1:Z1">
    <cfRule type="cellIs" dxfId="25" priority="2" stopIfTrue="1" operator="equal">
      <formula>0</formula>
    </cfRule>
  </conditionalFormatting>
  <hyperlinks>
    <hyperlink ref="D1" location="HypLink1" display="HypLink1"/>
  </hyperlinks>
  <pageMargins left="0.25" right="0.25" top="0.5" bottom="0.44999999999999996" header="0.25" footer="0.25"/>
  <pageSetup scale="65" fitToHeight="3" orientation="landscape" r:id="rId1"/>
  <headerFooter>
    <oddHeader xml:space="preserve">&amp;L &amp;C &amp;R </oddHeader>
    <oddFooter>&amp;L&amp;7&amp;D  at &amp;T Mike 702.486.8879&amp;C&amp;7&amp;F  &amp;A&amp;R&amp;7Page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AM99"/>
  <sheetViews>
    <sheetView workbookViewId="0">
      <selection activeCell="N13" sqref="N13"/>
    </sheetView>
  </sheetViews>
  <sheetFormatPr defaultColWidth="8.85546875" defaultRowHeight="15"/>
  <cols>
    <col min="1" max="1" width="5.42578125" style="42" customWidth="1"/>
    <col min="2" max="2" width="57.42578125" style="42" customWidth="1"/>
    <col min="3" max="3" width="12.28515625" style="42" customWidth="1"/>
    <col min="4" max="4" width="8.7109375" style="46" customWidth="1"/>
    <col min="5" max="5" width="11.28515625" style="46" customWidth="1"/>
    <col min="6" max="6" width="12.85546875" style="46" customWidth="1"/>
    <col min="7" max="7" width="12.85546875" style="42" bestFit="1" customWidth="1"/>
    <col min="8" max="8" width="12.42578125" style="42" bestFit="1" customWidth="1"/>
    <col min="9" max="12" width="12.85546875" style="42" bestFit="1" customWidth="1"/>
    <col min="13" max="13" width="4.7109375" style="42" customWidth="1"/>
    <col min="14" max="14" width="56.7109375" style="42" customWidth="1"/>
    <col min="15" max="16384" width="8.85546875" style="42"/>
  </cols>
  <sheetData>
    <row r="1" spans="1:39" ht="15.75">
      <c r="A1" s="185" t="s">
        <v>780</v>
      </c>
      <c r="B1" s="186"/>
      <c r="C1" s="640" t="s">
        <v>2</v>
      </c>
      <c r="D1" s="305" t="s">
        <v>781</v>
      </c>
      <c r="K1" s="47"/>
      <c r="Y1" s="8" cm="1">
        <f t="array" aca="1" ref="Y1" ca="1">CELL("protect",A1)</f>
        <v>1</v>
      </c>
      <c r="Z1" s="8" cm="1">
        <f t="array" aca="1" ref="Z1" ca="1">CELL("protect",B1)</f>
        <v>1</v>
      </c>
      <c r="AA1" s="8" cm="1">
        <f t="array" aca="1" ref="AA1" ca="1">CELL("protect",C1)</f>
        <v>1</v>
      </c>
      <c r="AB1" s="8" cm="1">
        <f t="array" aca="1" ref="AB1" ca="1">CELL("protect",D1)</f>
        <v>1</v>
      </c>
      <c r="AC1" s="8" cm="1">
        <f t="array" aca="1" ref="AC1" ca="1">CELL("protect",E1)</f>
        <v>1</v>
      </c>
      <c r="AD1" s="8" cm="1">
        <f t="array" aca="1" ref="AD1" ca="1">CELL("protect",F1)</f>
        <v>1</v>
      </c>
      <c r="AE1" s="8" cm="1">
        <f t="array" aca="1" ref="AE1" ca="1">CELL("protect",G1)</f>
        <v>1</v>
      </c>
      <c r="AF1" s="8" cm="1">
        <f t="array" aca="1" ref="AF1" ca="1">CELL("protect",H1)</f>
        <v>1</v>
      </c>
      <c r="AG1" s="8" cm="1">
        <f t="array" aca="1" ref="AG1" ca="1">CELL("protect",I1)</f>
        <v>1</v>
      </c>
      <c r="AH1" s="8" cm="1">
        <f t="array" aca="1" ref="AH1" ca="1">CELL("protect",J1)</f>
        <v>1</v>
      </c>
      <c r="AI1" s="8" cm="1">
        <f t="array" aca="1" ref="AI1" ca="1">CELL("protect",K1)</f>
        <v>1</v>
      </c>
      <c r="AJ1" s="8" cm="1">
        <f t="array" aca="1" ref="AJ1" ca="1">CELL("protect",L1)</f>
        <v>1</v>
      </c>
      <c r="AK1" s="8"/>
      <c r="AL1" s="8"/>
      <c r="AM1" s="8"/>
    </row>
    <row r="2" spans="1:39" ht="15.75">
      <c r="A2" s="360" t="str">
        <f>SchoolName</f>
        <v>Strong Start Academy Elementary School</v>
      </c>
      <c r="B2" s="361"/>
      <c r="Y2" s="8" cm="1">
        <f t="array" aca="1" ref="Y2" ca="1">CELL("protect",A2)</f>
        <v>1</v>
      </c>
      <c r="Z2" s="8" cm="1">
        <f t="array" aca="1" ref="Z2" ca="1">CELL("protect",B2)</f>
        <v>1</v>
      </c>
      <c r="AA2" s="8" cm="1">
        <f t="array" aca="1" ref="AA2" ca="1">CELL("protect",C2)</f>
        <v>1</v>
      </c>
      <c r="AB2" s="8" cm="1">
        <f t="array" aca="1" ref="AB2" ca="1">CELL("protect",D2)</f>
        <v>1</v>
      </c>
      <c r="AC2" s="8" cm="1">
        <f t="array" aca="1" ref="AC2" ca="1">CELL("protect",E2)</f>
        <v>1</v>
      </c>
      <c r="AD2" s="8" cm="1">
        <f t="array" aca="1" ref="AD2" ca="1">CELL("protect",F2)</f>
        <v>1</v>
      </c>
      <c r="AE2" s="8" cm="1">
        <f t="array" aca="1" ref="AE2" ca="1">CELL("protect",G2)</f>
        <v>1</v>
      </c>
      <c r="AF2" s="8" cm="1">
        <f t="array" aca="1" ref="AF2" ca="1">CELL("protect",H2)</f>
        <v>1</v>
      </c>
      <c r="AG2" s="8" cm="1">
        <f t="array" aca="1" ref="AG2" ca="1">CELL("protect",I2)</f>
        <v>1</v>
      </c>
      <c r="AH2" s="8" cm="1">
        <f t="array" aca="1" ref="AH2" ca="1">CELL("protect",J2)</f>
        <v>1</v>
      </c>
      <c r="AI2" s="8" cm="1">
        <f t="array" aca="1" ref="AI2" ca="1">CELL("protect",K2)</f>
        <v>1</v>
      </c>
      <c r="AJ2" s="8" cm="1">
        <f t="array" aca="1" ref="AJ2" ca="1">CELL("protect",L2)</f>
        <v>1</v>
      </c>
      <c r="AK2" s="8"/>
      <c r="AL2" s="8"/>
      <c r="AM2" s="8"/>
    </row>
    <row r="3" spans="1:39">
      <c r="A3" s="50" t="s">
        <v>62</v>
      </c>
      <c r="Y3" s="8" cm="1">
        <f t="array" aca="1" ref="Y3" ca="1">CELL("protect",A3)</f>
        <v>1</v>
      </c>
      <c r="Z3" s="8" cm="1">
        <f t="array" aca="1" ref="Z3" ca="1">CELL("protect",B3)</f>
        <v>1</v>
      </c>
      <c r="AA3" s="8" cm="1">
        <f t="array" aca="1" ref="AA3" ca="1">CELL("protect",C3)</f>
        <v>1</v>
      </c>
      <c r="AB3" s="8" cm="1">
        <f t="array" aca="1" ref="AB3" ca="1">CELL("protect",D3)</f>
        <v>1</v>
      </c>
      <c r="AC3" s="8" cm="1">
        <f t="array" aca="1" ref="AC3" ca="1">CELL("protect",E3)</f>
        <v>1</v>
      </c>
      <c r="AD3" s="8" cm="1">
        <f t="array" aca="1" ref="AD3" ca="1">CELL("protect",F3)</f>
        <v>1</v>
      </c>
      <c r="AE3" s="8" cm="1">
        <f t="array" aca="1" ref="AE3" ca="1">CELL("protect",G3)</f>
        <v>1</v>
      </c>
      <c r="AF3" s="8" cm="1">
        <f t="array" aca="1" ref="AF3" ca="1">CELL("protect",H3)</f>
        <v>1</v>
      </c>
      <c r="AG3" s="8" cm="1">
        <f t="array" aca="1" ref="AG3" ca="1">CELL("protect",I3)</f>
        <v>1</v>
      </c>
      <c r="AH3" s="8" cm="1">
        <f t="array" aca="1" ref="AH3" ca="1">CELL("protect",J3)</f>
        <v>1</v>
      </c>
      <c r="AI3" s="8" cm="1">
        <f t="array" aca="1" ref="AI3" ca="1">CELL("protect",K3)</f>
        <v>1</v>
      </c>
      <c r="AJ3" s="8" cm="1">
        <f t="array" aca="1" ref="AJ3" ca="1">CELL("protect",L3)</f>
        <v>1</v>
      </c>
      <c r="AK3" s="8"/>
      <c r="AL3" s="8"/>
      <c r="AM3" s="8"/>
    </row>
    <row r="4" spans="1:39">
      <c r="A4" s="51" t="s">
        <v>63</v>
      </c>
      <c r="Y4" s="8" cm="1">
        <f t="array" aca="1" ref="Y4" ca="1">CELL("protect",A4)</f>
        <v>1</v>
      </c>
      <c r="Z4" s="8" cm="1">
        <f t="array" aca="1" ref="Z4" ca="1">CELL("protect",B4)</f>
        <v>1</v>
      </c>
      <c r="AA4" s="8" cm="1">
        <f t="array" aca="1" ref="AA4" ca="1">CELL("protect",C4)</f>
        <v>1</v>
      </c>
      <c r="AB4" s="8" cm="1">
        <f t="array" aca="1" ref="AB4" ca="1">CELL("protect",D4)</f>
        <v>1</v>
      </c>
      <c r="AC4" s="8" cm="1">
        <f t="array" aca="1" ref="AC4" ca="1">CELL("protect",E4)</f>
        <v>1</v>
      </c>
      <c r="AD4" s="8" cm="1">
        <f t="array" aca="1" ref="AD4" ca="1">CELL("protect",F4)</f>
        <v>1</v>
      </c>
      <c r="AE4" s="8" cm="1">
        <f t="array" aca="1" ref="AE4" ca="1">CELL("protect",G4)</f>
        <v>1</v>
      </c>
      <c r="AF4" s="8" cm="1">
        <f t="array" aca="1" ref="AF4" ca="1">CELL("protect",H4)</f>
        <v>1</v>
      </c>
      <c r="AG4" s="8" cm="1">
        <f t="array" aca="1" ref="AG4" ca="1">CELL("protect",I4)</f>
        <v>1</v>
      </c>
      <c r="AH4" s="8" cm="1">
        <f t="array" aca="1" ref="AH4" ca="1">CELL("protect",J4)</f>
        <v>1</v>
      </c>
      <c r="AI4" s="8" cm="1">
        <f t="array" aca="1" ref="AI4" ca="1">CELL("protect",K4)</f>
        <v>1</v>
      </c>
      <c r="AJ4" s="8" cm="1">
        <f t="array" aca="1" ref="AJ4" ca="1">CELL("protect",L4)</f>
        <v>1</v>
      </c>
      <c r="AK4" s="8"/>
      <c r="AL4" s="8"/>
      <c r="AM4" s="8"/>
    </row>
    <row r="5" spans="1:39">
      <c r="A5" s="38" t="str">
        <f ca="1">CELL("filename")</f>
        <v>C:\Users\rsaucedo\OneDrive - City of Las Vegas\CLV Charter School\[Strong Start Academy Elementary School Financial Workbook 2021.xlsx]Incubation</v>
      </c>
      <c r="Y5" s="8" cm="1">
        <f t="array" aca="1" ref="Y5" ca="1">CELL("protect",A5)</f>
        <v>1</v>
      </c>
      <c r="Z5" s="8" cm="1">
        <f t="array" aca="1" ref="Z5" ca="1">CELL("protect",B5)</f>
        <v>1</v>
      </c>
      <c r="AA5" s="8" cm="1">
        <f t="array" aca="1" ref="AA5" ca="1">CELL("protect",C5)</f>
        <v>1</v>
      </c>
      <c r="AB5" s="8" cm="1">
        <f t="array" aca="1" ref="AB5" ca="1">CELL("protect",D5)</f>
        <v>1</v>
      </c>
      <c r="AC5" s="8" cm="1">
        <f t="array" aca="1" ref="AC5" ca="1">CELL("protect",E5)</f>
        <v>1</v>
      </c>
      <c r="AD5" s="8" cm="1">
        <f t="array" aca="1" ref="AD5" ca="1">CELL("protect",F5)</f>
        <v>1</v>
      </c>
      <c r="AE5" s="8" cm="1">
        <f t="array" aca="1" ref="AE5" ca="1">CELL("protect",G5)</f>
        <v>1</v>
      </c>
      <c r="AF5" s="8" cm="1">
        <f t="array" aca="1" ref="AF5" ca="1">CELL("protect",H5)</f>
        <v>1</v>
      </c>
      <c r="AG5" s="8" cm="1">
        <f t="array" aca="1" ref="AG5" ca="1">CELL("protect",I5)</f>
        <v>1</v>
      </c>
      <c r="AH5" s="8" cm="1">
        <f t="array" aca="1" ref="AH5" ca="1">CELL("protect",J5)</f>
        <v>1</v>
      </c>
      <c r="AI5" s="8" cm="1">
        <f t="array" aca="1" ref="AI5" ca="1">CELL("protect",K5)</f>
        <v>1</v>
      </c>
      <c r="AJ5" s="8" cm="1">
        <f t="array" aca="1" ref="AJ5" ca="1">CELL("protect",L5)</f>
        <v>1</v>
      </c>
      <c r="AK5" s="8"/>
      <c r="AL5" s="8"/>
      <c r="AM5" s="8"/>
    </row>
    <row r="6" spans="1:39">
      <c r="F6" s="40" t="s">
        <v>782</v>
      </c>
      <c r="G6" s="305" t="s">
        <v>783</v>
      </c>
      <c r="Y6" s="8" cm="1">
        <f t="array" aca="1" ref="Y6" ca="1">CELL("protect",A6)</f>
        <v>1</v>
      </c>
      <c r="Z6" s="8" cm="1">
        <f t="array" aca="1" ref="Z6" ca="1">CELL("protect",B6)</f>
        <v>1</v>
      </c>
      <c r="AA6" s="8" cm="1">
        <f t="array" aca="1" ref="AA6" ca="1">CELL("protect",C6)</f>
        <v>1</v>
      </c>
      <c r="AB6" s="8" cm="1">
        <f t="array" aca="1" ref="AB6" ca="1">CELL("protect",D6)</f>
        <v>1</v>
      </c>
      <c r="AC6" s="8" cm="1">
        <f t="array" aca="1" ref="AC6" ca="1">CELL("protect",E6)</f>
        <v>1</v>
      </c>
      <c r="AD6" s="8" cm="1">
        <f t="array" aca="1" ref="AD6" ca="1">CELL("protect",F6)</f>
        <v>1</v>
      </c>
      <c r="AE6" s="8" cm="1">
        <f t="array" aca="1" ref="AE6" ca="1">CELL("protect",G6)</f>
        <v>1</v>
      </c>
      <c r="AF6" s="8" cm="1">
        <f t="array" aca="1" ref="AF6" ca="1">CELL("protect",H6)</f>
        <v>1</v>
      </c>
      <c r="AG6" s="8" cm="1">
        <f t="array" aca="1" ref="AG6" ca="1">CELL("protect",I6)</f>
        <v>1</v>
      </c>
      <c r="AH6" s="8" cm="1">
        <f t="array" aca="1" ref="AH6" ca="1">CELL("protect",J6)</f>
        <v>1</v>
      </c>
      <c r="AI6" s="8" cm="1">
        <f t="array" aca="1" ref="AI6" ca="1">CELL("protect",K6)</f>
        <v>1</v>
      </c>
      <c r="AJ6" s="8" cm="1">
        <f t="array" aca="1" ref="AJ6" ca="1">CELL("protect",L6)</f>
        <v>1</v>
      </c>
      <c r="AK6" s="8"/>
      <c r="AL6" s="8"/>
      <c r="AM6" s="8"/>
    </row>
    <row r="7" spans="1:39" ht="15.75">
      <c r="B7" s="1138" t="s">
        <v>784</v>
      </c>
      <c r="C7" s="1139" t="s">
        <v>785</v>
      </c>
      <c r="D7" s="1140" t="s">
        <v>786</v>
      </c>
      <c r="E7" s="1141" t="s">
        <v>250</v>
      </c>
      <c r="F7" s="1128">
        <v>0</v>
      </c>
      <c r="G7" s="1129">
        <v>1</v>
      </c>
      <c r="H7" s="1129">
        <f>+G7+1</f>
        <v>2</v>
      </c>
      <c r="I7" s="1129">
        <f>+H7+1</f>
        <v>3</v>
      </c>
      <c r="J7" s="1129">
        <f>+I7+1</f>
        <v>4</v>
      </c>
      <c r="K7" s="1129">
        <f>+J7+1</f>
        <v>5</v>
      </c>
      <c r="L7" s="1130">
        <f>+K7+1</f>
        <v>6</v>
      </c>
      <c r="N7" s="1813" t="s">
        <v>84</v>
      </c>
      <c r="Y7" s="8" cm="1">
        <f t="array" aca="1" ref="Y7" ca="1">CELL("protect",A7)</f>
        <v>1</v>
      </c>
      <c r="Z7" s="8" cm="1">
        <f t="array" aca="1" ref="Z7" ca="1">CELL("protect",B7)</f>
        <v>1</v>
      </c>
      <c r="AA7" s="8" cm="1">
        <f t="array" aca="1" ref="AA7" ca="1">CELL("protect",C7)</f>
        <v>1</v>
      </c>
      <c r="AB7" s="8" cm="1">
        <f t="array" aca="1" ref="AB7" ca="1">CELL("protect",D7)</f>
        <v>1</v>
      </c>
      <c r="AC7" s="8" cm="1">
        <f t="array" aca="1" ref="AC7" ca="1">CELL("protect",E7)</f>
        <v>1</v>
      </c>
      <c r="AD7" s="8" cm="1">
        <f t="array" aca="1" ref="AD7" ca="1">CELL("protect",F7)</f>
        <v>1</v>
      </c>
      <c r="AE7" s="8" cm="1">
        <f t="array" aca="1" ref="AE7" ca="1">CELL("protect",G7)</f>
        <v>1</v>
      </c>
      <c r="AF7" s="8" cm="1">
        <f t="array" aca="1" ref="AF7" ca="1">CELL("protect",H7)</f>
        <v>1</v>
      </c>
      <c r="AG7" s="8" cm="1">
        <f t="array" aca="1" ref="AG7" ca="1">CELL("protect",I7)</f>
        <v>1</v>
      </c>
      <c r="AH7" s="8" cm="1">
        <f t="array" aca="1" ref="AH7" ca="1">CELL("protect",J7)</f>
        <v>1</v>
      </c>
      <c r="AI7" s="8" cm="1">
        <f t="array" aca="1" ref="AI7" ca="1">CELL("protect",K7)</f>
        <v>1</v>
      </c>
      <c r="AJ7" s="8" cm="1">
        <f t="array" aca="1" ref="AJ7" ca="1">CELL("protect",L7)</f>
        <v>1</v>
      </c>
      <c r="AK7" s="8"/>
      <c r="AL7" s="8"/>
      <c r="AM7" s="8"/>
    </row>
    <row r="8" spans="1:39" s="39" customFormat="1" ht="15.75">
      <c r="B8" s="1142" t="s">
        <v>787</v>
      </c>
      <c r="C8" s="1143" t="s">
        <v>788</v>
      </c>
      <c r="D8" s="1140" t="s">
        <v>789</v>
      </c>
      <c r="E8" s="1144" t="s">
        <v>790</v>
      </c>
      <c r="F8" s="1317">
        <f>' Enrol &amp; Rev'!G11</f>
        <v>2022</v>
      </c>
      <c r="G8" s="1131">
        <f>' Enrol &amp; Rev'!H11</f>
        <v>2023</v>
      </c>
      <c r="H8" s="1132">
        <f>' Enrol &amp; Rev'!I11</f>
        <v>2024</v>
      </c>
      <c r="I8" s="1132">
        <f>' Enrol &amp; Rev'!J11</f>
        <v>2025</v>
      </c>
      <c r="J8" s="1132">
        <f>' Enrol &amp; Rev'!K11</f>
        <v>2026</v>
      </c>
      <c r="K8" s="1132">
        <f>' Enrol &amp; Rev'!L11</f>
        <v>2027</v>
      </c>
      <c r="L8" s="1133">
        <f>' Enrol &amp; Rev'!M11</f>
        <v>2028</v>
      </c>
      <c r="N8" s="717"/>
      <c r="Y8" s="8" cm="1">
        <f t="array" aca="1" ref="Y8" ca="1">CELL("protect",A8)</f>
        <v>1</v>
      </c>
      <c r="Z8" s="8" cm="1">
        <f t="array" aca="1" ref="Z8" ca="1">CELL("protect",B8)</f>
        <v>1</v>
      </c>
      <c r="AA8" s="8" cm="1">
        <f t="array" aca="1" ref="AA8" ca="1">CELL("protect",C8)</f>
        <v>1</v>
      </c>
      <c r="AB8" s="8" cm="1">
        <f t="array" aca="1" ref="AB8" ca="1">CELL("protect",D8)</f>
        <v>1</v>
      </c>
      <c r="AC8" s="8" cm="1">
        <f t="array" aca="1" ref="AC8" ca="1">CELL("protect",E8)</f>
        <v>1</v>
      </c>
      <c r="AD8" s="8" cm="1">
        <f t="array" aca="1" ref="AD8" ca="1">CELL("protect",F8)</f>
        <v>1</v>
      </c>
      <c r="AE8" s="8" cm="1">
        <f t="array" aca="1" ref="AE8" ca="1">CELL("protect",G8)</f>
        <v>1</v>
      </c>
      <c r="AF8" s="8" cm="1">
        <f t="array" aca="1" ref="AF8" ca="1">CELL("protect",H8)</f>
        <v>1</v>
      </c>
      <c r="AG8" s="8" cm="1">
        <f t="array" aca="1" ref="AG8" ca="1">CELL("protect",I8)</f>
        <v>1</v>
      </c>
      <c r="AH8" s="8" cm="1">
        <f t="array" aca="1" ref="AH8" ca="1">CELL("protect",J8)</f>
        <v>1</v>
      </c>
      <c r="AI8" s="8" cm="1">
        <f t="array" aca="1" ref="AI8" ca="1">CELL("protect",K8)</f>
        <v>1</v>
      </c>
      <c r="AJ8" s="8" cm="1">
        <f t="array" aca="1" ref="AJ8" ca="1">CELL("protect",L8)</f>
        <v>1</v>
      </c>
      <c r="AK8" s="8"/>
      <c r="AL8" s="8"/>
      <c r="AM8" s="8"/>
    </row>
    <row r="9" spans="1:39">
      <c r="A9" s="213"/>
      <c r="B9" s="621"/>
      <c r="C9" s="622"/>
      <c r="D9" s="622"/>
      <c r="E9" s="183"/>
      <c r="F9" s="1312"/>
      <c r="G9" s="1312"/>
      <c r="H9" s="625"/>
      <c r="I9" s="625"/>
      <c r="J9" s="625"/>
      <c r="K9" s="625"/>
      <c r="L9" s="625"/>
      <c r="N9" s="541"/>
      <c r="Y9" s="8" cm="1">
        <f t="array" aca="1" ref="Y9" ca="1">CELL("protect",A9)</f>
        <v>1</v>
      </c>
      <c r="Z9" s="8" cm="1">
        <f t="array" aca="1" ref="Z9" ca="1">CELL("protect",B9)</f>
        <v>0</v>
      </c>
      <c r="AA9" s="8" cm="1">
        <f t="array" aca="1" ref="AA9" ca="1">CELL("protect",C9)</f>
        <v>0</v>
      </c>
      <c r="AB9" s="8" cm="1">
        <f t="array" aca="1" ref="AB9" ca="1">CELL("protect",D9)</f>
        <v>0</v>
      </c>
      <c r="AC9" s="8" cm="1">
        <f t="array" aca="1" ref="AC9" ca="1">CELL("protect",E9)</f>
        <v>1</v>
      </c>
      <c r="AD9" s="8" cm="1">
        <f t="array" aca="1" ref="AD9" ca="1">CELL("protect",F9)</f>
        <v>1</v>
      </c>
      <c r="AE9" s="8" cm="1">
        <f t="array" aca="1" ref="AE9" ca="1">CELL("protect",G9)</f>
        <v>1</v>
      </c>
      <c r="AF9" s="8" cm="1">
        <f t="array" aca="1" ref="AF9" ca="1">CELL("protect",H9)</f>
        <v>1</v>
      </c>
      <c r="AG9" s="8" cm="1">
        <f t="array" aca="1" ref="AG9" ca="1">CELL("protect",I9)</f>
        <v>1</v>
      </c>
      <c r="AH9" s="8" cm="1">
        <f t="array" aca="1" ref="AH9" ca="1">CELL("protect",J9)</f>
        <v>1</v>
      </c>
      <c r="AI9" s="8" cm="1">
        <f t="array" aca="1" ref="AI9" ca="1">CELL("protect",K9)</f>
        <v>1</v>
      </c>
      <c r="AJ9" s="8" cm="1">
        <f t="array" aca="1" ref="AJ9" ca="1">CELL("protect",L9)</f>
        <v>1</v>
      </c>
      <c r="AK9" s="8"/>
      <c r="AL9" s="8"/>
      <c r="AM9" s="8"/>
    </row>
    <row r="10" spans="1:39">
      <c r="A10" s="213">
        <f>ROW()</f>
        <v>10</v>
      </c>
      <c r="B10" s="726" t="s">
        <v>791</v>
      </c>
      <c r="C10" s="727"/>
      <c r="D10" s="620"/>
      <c r="E10" s="184"/>
      <c r="F10" s="1343"/>
      <c r="G10" s="1343"/>
      <c r="H10" s="1344"/>
      <c r="I10" s="1344"/>
      <c r="J10" s="1344"/>
      <c r="K10" s="1344"/>
      <c r="L10" s="1344"/>
      <c r="N10" s="541" t="s">
        <v>792</v>
      </c>
      <c r="Y10" s="8" cm="1">
        <f t="array" aca="1" ref="Y10" ca="1">CELL("protect",A10)</f>
        <v>1</v>
      </c>
      <c r="Z10" s="8" cm="1">
        <f t="array" aca="1" ref="Z10" ca="1">CELL("protect",B10)</f>
        <v>1</v>
      </c>
      <c r="AA10" s="8" cm="1">
        <f t="array" aca="1" ref="AA10" ca="1">CELL("protect",C10)</f>
        <v>1</v>
      </c>
      <c r="AB10" s="8" cm="1">
        <f t="array" aca="1" ref="AB10" ca="1">CELL("protect",D10)</f>
        <v>0</v>
      </c>
      <c r="AC10" s="8" cm="1">
        <f t="array" aca="1" ref="AC10" ca="1">CELL("protect",E10)</f>
        <v>1</v>
      </c>
      <c r="AD10" s="8" cm="1">
        <f t="array" aca="1" ref="AD10" ca="1">CELL("protect",F10)</f>
        <v>0</v>
      </c>
      <c r="AE10" s="8" cm="1">
        <f t="array" aca="1" ref="AE10" ca="1">CELL("protect",G10)</f>
        <v>0</v>
      </c>
      <c r="AF10" s="8" cm="1">
        <f t="array" aca="1" ref="AF10" ca="1">CELL("protect",H10)</f>
        <v>0</v>
      </c>
      <c r="AG10" s="8" cm="1">
        <f t="array" aca="1" ref="AG10" ca="1">CELL("protect",I10)</f>
        <v>0</v>
      </c>
      <c r="AH10" s="8" cm="1">
        <f t="array" aca="1" ref="AH10" ca="1">CELL("protect",J10)</f>
        <v>0</v>
      </c>
      <c r="AI10" s="8" cm="1">
        <f t="array" aca="1" ref="AI10" ca="1">CELL("protect",K10)</f>
        <v>0</v>
      </c>
      <c r="AJ10" s="8" cm="1">
        <f t="array" aca="1" ref="AJ10" ca="1">CELL("protect",L10)</f>
        <v>0</v>
      </c>
      <c r="AK10" s="8"/>
      <c r="AL10" s="8"/>
      <c r="AM10" s="8"/>
    </row>
    <row r="11" spans="1:39">
      <c r="A11" s="213">
        <f>ROW()</f>
        <v>11</v>
      </c>
      <c r="B11" s="728" t="s">
        <v>793</v>
      </c>
      <c r="C11" s="805">
        <v>0</v>
      </c>
      <c r="D11" s="806">
        <v>0</v>
      </c>
      <c r="E11" s="1310">
        <f t="shared" ref="E11:E47" si="0">SUM(F11:L11)</f>
        <v>0</v>
      </c>
      <c r="F11" s="1375">
        <v>0</v>
      </c>
      <c r="G11" s="1345">
        <f t="shared" ref="G11:G46" si="1">+$D11</f>
        <v>0</v>
      </c>
      <c r="H11" s="1292">
        <f t="shared" ref="H11:L28" si="2">+$D11</f>
        <v>0</v>
      </c>
      <c r="I11" s="1292">
        <f t="shared" si="2"/>
        <v>0</v>
      </c>
      <c r="J11" s="1292">
        <f t="shared" si="2"/>
        <v>0</v>
      </c>
      <c r="K11" s="1292">
        <f t="shared" si="2"/>
        <v>0</v>
      </c>
      <c r="L11" s="1292">
        <f t="shared" si="2"/>
        <v>0</v>
      </c>
      <c r="N11" s="541"/>
      <c r="Y11" s="8" cm="1">
        <f t="array" aca="1" ref="Y11" ca="1">CELL("protect",A11)</f>
        <v>1</v>
      </c>
      <c r="Z11" s="8" cm="1">
        <f t="array" aca="1" ref="Z11" ca="1">CELL("protect",B11)</f>
        <v>1</v>
      </c>
      <c r="AA11" s="8" cm="1">
        <f t="array" aca="1" ref="AA11" ca="1">CELL("protect",C11)</f>
        <v>1</v>
      </c>
      <c r="AB11" s="8" cm="1">
        <f t="array" aca="1" ref="AB11" ca="1">CELL("protect",D11)</f>
        <v>0</v>
      </c>
      <c r="AC11" s="8" cm="1">
        <f t="array" aca="1" ref="AC11" ca="1">CELL("protect",E11)</f>
        <v>1</v>
      </c>
      <c r="AD11" s="8" cm="1">
        <f t="array" aca="1" ref="AD11" ca="1">CELL("protect",F11)</f>
        <v>0</v>
      </c>
      <c r="AE11" s="8" cm="1">
        <f t="array" aca="1" ref="AE11" ca="1">CELL("protect",G11)</f>
        <v>0</v>
      </c>
      <c r="AF11" s="8" cm="1">
        <f t="array" aca="1" ref="AF11" ca="1">CELL("protect",H11)</f>
        <v>0</v>
      </c>
      <c r="AG11" s="8" cm="1">
        <f t="array" aca="1" ref="AG11" ca="1">CELL("protect",I11)</f>
        <v>0</v>
      </c>
      <c r="AH11" s="8" cm="1">
        <f t="array" aca="1" ref="AH11" ca="1">CELL("protect",J11)</f>
        <v>0</v>
      </c>
      <c r="AI11" s="8" cm="1">
        <f t="array" aca="1" ref="AI11" ca="1">CELL("protect",K11)</f>
        <v>0</v>
      </c>
      <c r="AJ11" s="8" cm="1">
        <f t="array" aca="1" ref="AJ11" ca="1">CELL("protect",L11)</f>
        <v>0</v>
      </c>
      <c r="AK11" s="8"/>
      <c r="AL11" s="8"/>
      <c r="AM11" s="8"/>
    </row>
    <row r="12" spans="1:39" ht="45">
      <c r="A12" s="1348">
        <f>ROW()</f>
        <v>12</v>
      </c>
      <c r="B12" s="729" t="s">
        <v>794</v>
      </c>
      <c r="C12" s="730">
        <v>1000000</v>
      </c>
      <c r="D12" s="427">
        <v>5000</v>
      </c>
      <c r="E12" s="1309">
        <f t="shared" si="0"/>
        <v>30000</v>
      </c>
      <c r="F12" s="1376">
        <v>0</v>
      </c>
      <c r="G12" s="1313">
        <f t="shared" si="1"/>
        <v>5000</v>
      </c>
      <c r="H12" s="714">
        <f t="shared" si="2"/>
        <v>5000</v>
      </c>
      <c r="I12" s="714">
        <f t="shared" si="2"/>
        <v>5000</v>
      </c>
      <c r="J12" s="714">
        <f t="shared" si="2"/>
        <v>5000</v>
      </c>
      <c r="K12" s="714">
        <f t="shared" si="2"/>
        <v>5000</v>
      </c>
      <c r="L12" s="714">
        <f t="shared" si="2"/>
        <v>5000</v>
      </c>
      <c r="N12" s="541" t="s">
        <v>1323</v>
      </c>
      <c r="Y12" s="8" cm="1">
        <f t="array" aca="1" ref="Y12" ca="1">CELL("protect",A12)</f>
        <v>1</v>
      </c>
      <c r="Z12" s="8" cm="1">
        <f t="array" aca="1" ref="Z12" ca="1">CELL("protect",B12)</f>
        <v>1</v>
      </c>
      <c r="AA12" s="8" cm="1">
        <f t="array" aca="1" ref="AA12" ca="1">CELL("protect",C12)</f>
        <v>1</v>
      </c>
      <c r="AB12" s="8" cm="1">
        <f t="array" aca="1" ref="AB12" ca="1">CELL("protect",D12)</f>
        <v>0</v>
      </c>
      <c r="AC12" s="8" cm="1">
        <f t="array" aca="1" ref="AC12" ca="1">CELL("protect",E12)</f>
        <v>1</v>
      </c>
      <c r="AD12" s="8" cm="1">
        <f t="array" aca="1" ref="AD12" ca="1">CELL("protect",F12)</f>
        <v>0</v>
      </c>
      <c r="AE12" s="8" cm="1">
        <f t="array" aca="1" ref="AE12" ca="1">CELL("protect",G12)</f>
        <v>0</v>
      </c>
      <c r="AF12" s="8" cm="1">
        <f t="array" aca="1" ref="AF12" ca="1">CELL("protect",H12)</f>
        <v>0</v>
      </c>
      <c r="AG12" s="8" cm="1">
        <f t="array" aca="1" ref="AG12" ca="1">CELL("protect",I12)</f>
        <v>0</v>
      </c>
      <c r="AH12" s="8" cm="1">
        <f t="array" aca="1" ref="AH12" ca="1">CELL("protect",J12)</f>
        <v>0</v>
      </c>
      <c r="AI12" s="8" cm="1">
        <f t="array" aca="1" ref="AI12" ca="1">CELL("protect",K12)</f>
        <v>0</v>
      </c>
      <c r="AJ12" s="8" cm="1">
        <f t="array" aca="1" ref="AJ12" ca="1">CELL("protect",L12)</f>
        <v>0</v>
      </c>
      <c r="AK12" s="8"/>
      <c r="AL12" s="8"/>
      <c r="AM12" s="8"/>
    </row>
    <row r="13" spans="1:39">
      <c r="A13" s="213">
        <f>ROW()</f>
        <v>13</v>
      </c>
      <c r="B13" s="731" t="s">
        <v>795</v>
      </c>
      <c r="C13" s="732">
        <v>3000000</v>
      </c>
      <c r="D13" s="427">
        <v>4500</v>
      </c>
      <c r="E13" s="1309">
        <f t="shared" si="0"/>
        <v>27000</v>
      </c>
      <c r="F13" s="1376">
        <v>0</v>
      </c>
      <c r="G13" s="1313">
        <f t="shared" si="1"/>
        <v>4500</v>
      </c>
      <c r="H13" s="714">
        <f t="shared" si="2"/>
        <v>4500</v>
      </c>
      <c r="I13" s="714">
        <f t="shared" si="2"/>
        <v>4500</v>
      </c>
      <c r="J13" s="714">
        <f t="shared" si="2"/>
        <v>4500</v>
      </c>
      <c r="K13" s="714">
        <f t="shared" si="2"/>
        <v>4500</v>
      </c>
      <c r="L13" s="714">
        <f t="shared" si="2"/>
        <v>4500</v>
      </c>
      <c r="N13" s="541"/>
      <c r="Y13" s="8" cm="1">
        <f t="array" aca="1" ref="Y13" ca="1">CELL("protect",A13)</f>
        <v>1</v>
      </c>
      <c r="Z13" s="8" cm="1">
        <f t="array" aca="1" ref="Z13" ca="1">CELL("protect",B13)</f>
        <v>1</v>
      </c>
      <c r="AA13" s="8" cm="1">
        <f t="array" aca="1" ref="AA13" ca="1">CELL("protect",C13)</f>
        <v>1</v>
      </c>
      <c r="AB13" s="8" cm="1">
        <f t="array" aca="1" ref="AB13" ca="1">CELL("protect",D13)</f>
        <v>0</v>
      </c>
      <c r="AC13" s="8" cm="1">
        <f t="array" aca="1" ref="AC13" ca="1">CELL("protect",E13)</f>
        <v>1</v>
      </c>
      <c r="AD13" s="8" cm="1">
        <f t="array" aca="1" ref="AD13" ca="1">CELL("protect",F13)</f>
        <v>0</v>
      </c>
      <c r="AE13" s="8" cm="1">
        <f t="array" aca="1" ref="AE13" ca="1">CELL("protect",G13)</f>
        <v>0</v>
      </c>
      <c r="AF13" s="8" cm="1">
        <f t="array" aca="1" ref="AF13" ca="1">CELL("protect",H13)</f>
        <v>0</v>
      </c>
      <c r="AG13" s="8" cm="1">
        <f t="array" aca="1" ref="AG13" ca="1">CELL("protect",I13)</f>
        <v>0</v>
      </c>
      <c r="AH13" s="8" cm="1">
        <f t="array" aca="1" ref="AH13" ca="1">CELL("protect",J13)</f>
        <v>0</v>
      </c>
      <c r="AI13" s="8" cm="1">
        <f t="array" aca="1" ref="AI13" ca="1">CELL("protect",K13)</f>
        <v>0</v>
      </c>
      <c r="AJ13" s="8" cm="1">
        <f t="array" aca="1" ref="AJ13" ca="1">CELL("protect",L13)</f>
        <v>0</v>
      </c>
      <c r="AK13" s="8"/>
      <c r="AL13" s="8"/>
      <c r="AM13" s="8"/>
    </row>
    <row r="14" spans="1:39">
      <c r="A14" s="213">
        <f>ROW()</f>
        <v>14</v>
      </c>
      <c r="B14" s="731" t="s">
        <v>796</v>
      </c>
      <c r="C14" s="732">
        <v>1000000</v>
      </c>
      <c r="D14" s="427">
        <v>938</v>
      </c>
      <c r="E14" s="1309">
        <f t="shared" si="0"/>
        <v>5628</v>
      </c>
      <c r="F14" s="1376">
        <v>0</v>
      </c>
      <c r="G14" s="1313">
        <f t="shared" si="1"/>
        <v>938</v>
      </c>
      <c r="H14" s="714">
        <f t="shared" si="2"/>
        <v>938</v>
      </c>
      <c r="I14" s="714">
        <f t="shared" si="2"/>
        <v>938</v>
      </c>
      <c r="J14" s="714">
        <f t="shared" si="2"/>
        <v>938</v>
      </c>
      <c r="K14" s="714">
        <f t="shared" si="2"/>
        <v>938</v>
      </c>
      <c r="L14" s="714">
        <f t="shared" si="2"/>
        <v>938</v>
      </c>
      <c r="N14" s="541"/>
      <c r="Y14" s="8" cm="1">
        <f t="array" aca="1" ref="Y14" ca="1">CELL("protect",A14)</f>
        <v>1</v>
      </c>
      <c r="Z14" s="8" cm="1">
        <f t="array" aca="1" ref="Z14" ca="1">CELL("protect",B14)</f>
        <v>1</v>
      </c>
      <c r="AA14" s="8" cm="1">
        <f t="array" aca="1" ref="AA14" ca="1">CELL("protect",C14)</f>
        <v>1</v>
      </c>
      <c r="AB14" s="8" cm="1">
        <f t="array" aca="1" ref="AB14" ca="1">CELL("protect",D14)</f>
        <v>0</v>
      </c>
      <c r="AC14" s="8" cm="1">
        <f t="array" aca="1" ref="AC14" ca="1">CELL("protect",E14)</f>
        <v>1</v>
      </c>
      <c r="AD14" s="8" cm="1">
        <f t="array" aca="1" ref="AD14" ca="1">CELL("protect",F14)</f>
        <v>0</v>
      </c>
      <c r="AE14" s="8" cm="1">
        <f t="array" aca="1" ref="AE14" ca="1">CELL("protect",G14)</f>
        <v>0</v>
      </c>
      <c r="AF14" s="8" cm="1">
        <f t="array" aca="1" ref="AF14" ca="1">CELL("protect",H14)</f>
        <v>0</v>
      </c>
      <c r="AG14" s="8" cm="1">
        <f t="array" aca="1" ref="AG14" ca="1">CELL("protect",I14)</f>
        <v>0</v>
      </c>
      <c r="AH14" s="8" cm="1">
        <f t="array" aca="1" ref="AH14" ca="1">CELL("protect",J14)</f>
        <v>0</v>
      </c>
      <c r="AI14" s="8" cm="1">
        <f t="array" aca="1" ref="AI14" ca="1">CELL("protect",K14)</f>
        <v>0</v>
      </c>
      <c r="AJ14" s="8" cm="1">
        <f t="array" aca="1" ref="AJ14" ca="1">CELL("protect",L14)</f>
        <v>0</v>
      </c>
      <c r="AK14" s="8"/>
      <c r="AL14" s="8"/>
      <c r="AM14" s="8"/>
    </row>
    <row r="15" spans="1:39">
      <c r="A15" s="213">
        <f>ROW()</f>
        <v>15</v>
      </c>
      <c r="B15" s="731" t="s">
        <v>797</v>
      </c>
      <c r="C15" s="732">
        <v>1000000</v>
      </c>
      <c r="D15" s="427">
        <v>938</v>
      </c>
      <c r="E15" s="1309">
        <f t="shared" si="0"/>
        <v>5628</v>
      </c>
      <c r="F15" s="1376">
        <v>0</v>
      </c>
      <c r="G15" s="1313">
        <f t="shared" si="1"/>
        <v>938</v>
      </c>
      <c r="H15" s="714">
        <f t="shared" si="2"/>
        <v>938</v>
      </c>
      <c r="I15" s="714">
        <f t="shared" si="2"/>
        <v>938</v>
      </c>
      <c r="J15" s="714">
        <f t="shared" si="2"/>
        <v>938</v>
      </c>
      <c r="K15" s="714">
        <f t="shared" si="2"/>
        <v>938</v>
      </c>
      <c r="L15" s="714">
        <f t="shared" si="2"/>
        <v>938</v>
      </c>
      <c r="N15" s="541"/>
      <c r="Y15" s="8" cm="1">
        <f t="array" aca="1" ref="Y15" ca="1">CELL("protect",A15)</f>
        <v>1</v>
      </c>
      <c r="Z15" s="8" cm="1">
        <f t="array" aca="1" ref="Z15" ca="1">CELL("protect",B15)</f>
        <v>1</v>
      </c>
      <c r="AA15" s="8" cm="1">
        <f t="array" aca="1" ref="AA15" ca="1">CELL("protect",C15)</f>
        <v>1</v>
      </c>
      <c r="AB15" s="8" cm="1">
        <f t="array" aca="1" ref="AB15" ca="1">CELL("protect",D15)</f>
        <v>0</v>
      </c>
      <c r="AC15" s="8" cm="1">
        <f t="array" aca="1" ref="AC15" ca="1">CELL("protect",E15)</f>
        <v>1</v>
      </c>
      <c r="AD15" s="8" cm="1">
        <f t="array" aca="1" ref="AD15" ca="1">CELL("protect",F15)</f>
        <v>0</v>
      </c>
      <c r="AE15" s="8" cm="1">
        <f t="array" aca="1" ref="AE15" ca="1">CELL("protect",G15)</f>
        <v>0</v>
      </c>
      <c r="AF15" s="8" cm="1">
        <f t="array" aca="1" ref="AF15" ca="1">CELL("protect",H15)</f>
        <v>0</v>
      </c>
      <c r="AG15" s="8" cm="1">
        <f t="array" aca="1" ref="AG15" ca="1">CELL("protect",I15)</f>
        <v>0</v>
      </c>
      <c r="AH15" s="8" cm="1">
        <f t="array" aca="1" ref="AH15" ca="1">CELL("protect",J15)</f>
        <v>0</v>
      </c>
      <c r="AI15" s="8" cm="1">
        <f t="array" aca="1" ref="AI15" ca="1">CELL("protect",K15)</f>
        <v>0</v>
      </c>
      <c r="AJ15" s="8" cm="1">
        <f t="array" aca="1" ref="AJ15" ca="1">CELL("protect",L15)</f>
        <v>0</v>
      </c>
      <c r="AK15" s="8"/>
      <c r="AL15" s="8"/>
      <c r="AM15" s="8"/>
    </row>
    <row r="16" spans="1:39">
      <c r="A16" s="213">
        <f>ROW()</f>
        <v>16</v>
      </c>
      <c r="B16" s="733" t="s">
        <v>798</v>
      </c>
      <c r="C16" s="732">
        <v>1000000</v>
      </c>
      <c r="D16" s="427">
        <v>350</v>
      </c>
      <c r="E16" s="1309">
        <f t="shared" si="0"/>
        <v>2100</v>
      </c>
      <c r="F16" s="1376">
        <v>0</v>
      </c>
      <c r="G16" s="1313">
        <f t="shared" si="1"/>
        <v>350</v>
      </c>
      <c r="H16" s="714">
        <f t="shared" si="2"/>
        <v>350</v>
      </c>
      <c r="I16" s="714">
        <f t="shared" si="2"/>
        <v>350</v>
      </c>
      <c r="J16" s="714">
        <f t="shared" si="2"/>
        <v>350</v>
      </c>
      <c r="K16" s="714">
        <f t="shared" si="2"/>
        <v>350</v>
      </c>
      <c r="L16" s="714">
        <f t="shared" si="2"/>
        <v>350</v>
      </c>
      <c r="N16" s="541"/>
      <c r="Y16" s="8" cm="1">
        <f t="array" aca="1" ref="Y16" ca="1">CELL("protect",A16)</f>
        <v>1</v>
      </c>
      <c r="Z16" s="8" cm="1">
        <f t="array" aca="1" ref="Z16" ca="1">CELL("protect",B16)</f>
        <v>1</v>
      </c>
      <c r="AA16" s="8" cm="1">
        <f t="array" aca="1" ref="AA16" ca="1">CELL("protect",C16)</f>
        <v>1</v>
      </c>
      <c r="AB16" s="8" cm="1">
        <f t="array" aca="1" ref="AB16" ca="1">CELL("protect",D16)</f>
        <v>0</v>
      </c>
      <c r="AC16" s="8" cm="1">
        <f t="array" aca="1" ref="AC16" ca="1">CELL("protect",E16)</f>
        <v>1</v>
      </c>
      <c r="AD16" s="8" cm="1">
        <f t="array" aca="1" ref="AD16" ca="1">CELL("protect",F16)</f>
        <v>0</v>
      </c>
      <c r="AE16" s="8" cm="1">
        <f t="array" aca="1" ref="AE16" ca="1">CELL("protect",G16)</f>
        <v>0</v>
      </c>
      <c r="AF16" s="8" cm="1">
        <f t="array" aca="1" ref="AF16" ca="1">CELL("protect",H16)</f>
        <v>0</v>
      </c>
      <c r="AG16" s="8" cm="1">
        <f t="array" aca="1" ref="AG16" ca="1">CELL("protect",I16)</f>
        <v>0</v>
      </c>
      <c r="AH16" s="8" cm="1">
        <f t="array" aca="1" ref="AH16" ca="1">CELL("protect",J16)</f>
        <v>0</v>
      </c>
      <c r="AI16" s="8" cm="1">
        <f t="array" aca="1" ref="AI16" ca="1">CELL("protect",K16)</f>
        <v>0</v>
      </c>
      <c r="AJ16" s="8" cm="1">
        <f t="array" aca="1" ref="AJ16" ca="1">CELL("protect",L16)</f>
        <v>0</v>
      </c>
      <c r="AK16" s="8"/>
      <c r="AL16" s="8"/>
      <c r="AM16" s="8"/>
    </row>
    <row r="17" spans="1:39" ht="32.25" customHeight="1">
      <c r="A17" s="1348">
        <f>ROW()</f>
        <v>17</v>
      </c>
      <c r="B17" s="729" t="s">
        <v>799</v>
      </c>
      <c r="C17" s="732">
        <v>1000000</v>
      </c>
      <c r="D17" s="427">
        <v>0</v>
      </c>
      <c r="E17" s="1309">
        <f t="shared" si="0"/>
        <v>0</v>
      </c>
      <c r="F17" s="1376">
        <v>0</v>
      </c>
      <c r="G17" s="1313">
        <f t="shared" si="1"/>
        <v>0</v>
      </c>
      <c r="H17" s="714">
        <f t="shared" si="2"/>
        <v>0</v>
      </c>
      <c r="I17" s="714">
        <f t="shared" si="2"/>
        <v>0</v>
      </c>
      <c r="J17" s="714">
        <f t="shared" si="2"/>
        <v>0</v>
      </c>
      <c r="K17" s="714">
        <f t="shared" si="2"/>
        <v>0</v>
      </c>
      <c r="L17" s="714">
        <f t="shared" si="2"/>
        <v>0</v>
      </c>
      <c r="N17" s="541"/>
      <c r="Y17" s="8" cm="1">
        <f t="array" aca="1" ref="Y17" ca="1">CELL("protect",A17)</f>
        <v>1</v>
      </c>
      <c r="Z17" s="8" cm="1">
        <f t="array" aca="1" ref="Z17" ca="1">CELL("protect",B17)</f>
        <v>1</v>
      </c>
      <c r="AA17" s="8" cm="1">
        <f t="array" aca="1" ref="AA17" ca="1">CELL("protect",C17)</f>
        <v>1</v>
      </c>
      <c r="AB17" s="8" cm="1">
        <f t="array" aca="1" ref="AB17" ca="1">CELL("protect",D17)</f>
        <v>0</v>
      </c>
      <c r="AC17" s="8" cm="1">
        <f t="array" aca="1" ref="AC17" ca="1">CELL("protect",E17)</f>
        <v>1</v>
      </c>
      <c r="AD17" s="8" cm="1">
        <f t="array" aca="1" ref="AD17" ca="1">CELL("protect",F17)</f>
        <v>0</v>
      </c>
      <c r="AE17" s="8" cm="1">
        <f t="array" aca="1" ref="AE17" ca="1">CELL("protect",G17)</f>
        <v>0</v>
      </c>
      <c r="AF17" s="8" cm="1">
        <f t="array" aca="1" ref="AF17" ca="1">CELL("protect",H17)</f>
        <v>0</v>
      </c>
      <c r="AG17" s="8" cm="1">
        <f t="array" aca="1" ref="AG17" ca="1">CELL("protect",I17)</f>
        <v>0</v>
      </c>
      <c r="AH17" s="8" cm="1">
        <f t="array" aca="1" ref="AH17" ca="1">CELL("protect",J17)</f>
        <v>0</v>
      </c>
      <c r="AI17" s="8" cm="1">
        <f t="array" aca="1" ref="AI17" ca="1">CELL("protect",K17)</f>
        <v>0</v>
      </c>
      <c r="AJ17" s="8" cm="1">
        <f t="array" aca="1" ref="AJ17" ca="1">CELL("protect",L17)</f>
        <v>0</v>
      </c>
      <c r="AK17" s="8"/>
      <c r="AL17" s="8"/>
      <c r="AM17" s="8"/>
    </row>
    <row r="18" spans="1:39">
      <c r="A18" s="213">
        <f>ROW()</f>
        <v>18</v>
      </c>
      <c r="B18" s="731" t="s">
        <v>800</v>
      </c>
      <c r="C18" s="732">
        <v>1000000</v>
      </c>
      <c r="D18" s="427">
        <v>350</v>
      </c>
      <c r="E18" s="1309">
        <f t="shared" si="0"/>
        <v>2100</v>
      </c>
      <c r="F18" s="1376">
        <v>0</v>
      </c>
      <c r="G18" s="1313">
        <f t="shared" si="1"/>
        <v>350</v>
      </c>
      <c r="H18" s="714">
        <f t="shared" si="2"/>
        <v>350</v>
      </c>
      <c r="I18" s="714">
        <f t="shared" si="2"/>
        <v>350</v>
      </c>
      <c r="J18" s="714">
        <f t="shared" si="2"/>
        <v>350</v>
      </c>
      <c r="K18" s="714">
        <f t="shared" si="2"/>
        <v>350</v>
      </c>
      <c r="L18" s="714">
        <f t="shared" si="2"/>
        <v>350</v>
      </c>
      <c r="N18" s="541"/>
      <c r="Y18" s="8" cm="1">
        <f t="array" aca="1" ref="Y18" ca="1">CELL("protect",A18)</f>
        <v>1</v>
      </c>
      <c r="Z18" s="8" cm="1">
        <f t="array" aca="1" ref="Z18" ca="1">CELL("protect",B18)</f>
        <v>1</v>
      </c>
      <c r="AA18" s="8" cm="1">
        <f t="array" aca="1" ref="AA18" ca="1">CELL("protect",C18)</f>
        <v>1</v>
      </c>
      <c r="AB18" s="8" cm="1">
        <f t="array" aca="1" ref="AB18" ca="1">CELL("protect",D18)</f>
        <v>0</v>
      </c>
      <c r="AC18" s="8" cm="1">
        <f t="array" aca="1" ref="AC18" ca="1">CELL("protect",E18)</f>
        <v>1</v>
      </c>
      <c r="AD18" s="8" cm="1">
        <f t="array" aca="1" ref="AD18" ca="1">CELL("protect",F18)</f>
        <v>0</v>
      </c>
      <c r="AE18" s="8" cm="1">
        <f t="array" aca="1" ref="AE18" ca="1">CELL("protect",G18)</f>
        <v>0</v>
      </c>
      <c r="AF18" s="8" cm="1">
        <f t="array" aca="1" ref="AF18" ca="1">CELL("protect",H18)</f>
        <v>0</v>
      </c>
      <c r="AG18" s="8" cm="1">
        <f t="array" aca="1" ref="AG18" ca="1">CELL("protect",I18)</f>
        <v>0</v>
      </c>
      <c r="AH18" s="8" cm="1">
        <f t="array" aca="1" ref="AH18" ca="1">CELL("protect",J18)</f>
        <v>0</v>
      </c>
      <c r="AI18" s="8" cm="1">
        <f t="array" aca="1" ref="AI18" ca="1">CELL("protect",K18)</f>
        <v>0</v>
      </c>
      <c r="AJ18" s="8" cm="1">
        <f t="array" aca="1" ref="AJ18" ca="1">CELL("protect",L18)</f>
        <v>0</v>
      </c>
      <c r="AK18" s="8"/>
      <c r="AL18" s="8"/>
      <c r="AM18" s="8"/>
    </row>
    <row r="19" spans="1:39">
      <c r="A19" s="213">
        <f>ROW()</f>
        <v>19</v>
      </c>
      <c r="B19" s="731" t="s">
        <v>801</v>
      </c>
      <c r="C19" s="732">
        <v>1000000</v>
      </c>
      <c r="D19" s="427">
        <v>0</v>
      </c>
      <c r="E19" s="1309">
        <f t="shared" si="0"/>
        <v>0</v>
      </c>
      <c r="F19" s="1376">
        <v>0</v>
      </c>
      <c r="G19" s="1313">
        <f t="shared" si="1"/>
        <v>0</v>
      </c>
      <c r="H19" s="714">
        <f t="shared" si="2"/>
        <v>0</v>
      </c>
      <c r="I19" s="714">
        <f t="shared" si="2"/>
        <v>0</v>
      </c>
      <c r="J19" s="714">
        <f t="shared" si="2"/>
        <v>0</v>
      </c>
      <c r="K19" s="714">
        <f t="shared" si="2"/>
        <v>0</v>
      </c>
      <c r="L19" s="714">
        <f t="shared" si="2"/>
        <v>0</v>
      </c>
      <c r="N19" s="541"/>
      <c r="Y19" s="8" cm="1">
        <f t="array" aca="1" ref="Y19" ca="1">CELL("protect",A19)</f>
        <v>1</v>
      </c>
      <c r="Z19" s="8" cm="1">
        <f t="array" aca="1" ref="Z19" ca="1">CELL("protect",B19)</f>
        <v>1</v>
      </c>
      <c r="AA19" s="8" cm="1">
        <f t="array" aca="1" ref="AA19" ca="1">CELL("protect",C19)</f>
        <v>1</v>
      </c>
      <c r="AB19" s="8" cm="1">
        <f t="array" aca="1" ref="AB19" ca="1">CELL("protect",D19)</f>
        <v>0</v>
      </c>
      <c r="AC19" s="8" cm="1">
        <f t="array" aca="1" ref="AC19" ca="1">CELL("protect",E19)</f>
        <v>1</v>
      </c>
      <c r="AD19" s="8" cm="1">
        <f t="array" aca="1" ref="AD19" ca="1">CELL("protect",F19)</f>
        <v>0</v>
      </c>
      <c r="AE19" s="8" cm="1">
        <f t="array" aca="1" ref="AE19" ca="1">CELL("protect",G19)</f>
        <v>0</v>
      </c>
      <c r="AF19" s="8" cm="1">
        <f t="array" aca="1" ref="AF19" ca="1">CELL("protect",H19)</f>
        <v>0</v>
      </c>
      <c r="AG19" s="8" cm="1">
        <f t="array" aca="1" ref="AG19" ca="1">CELL("protect",I19)</f>
        <v>0</v>
      </c>
      <c r="AH19" s="8" cm="1">
        <f t="array" aca="1" ref="AH19" ca="1">CELL("protect",J19)</f>
        <v>0</v>
      </c>
      <c r="AI19" s="8" cm="1">
        <f t="array" aca="1" ref="AI19" ca="1">CELL("protect",K19)</f>
        <v>0</v>
      </c>
      <c r="AJ19" s="8" cm="1">
        <f t="array" aca="1" ref="AJ19" ca="1">CELL("protect",L19)</f>
        <v>0</v>
      </c>
      <c r="AK19" s="8"/>
      <c r="AL19" s="8"/>
      <c r="AM19" s="8"/>
    </row>
    <row r="20" spans="1:39">
      <c r="A20" s="213">
        <f>ROW()</f>
        <v>20</v>
      </c>
      <c r="B20" s="628"/>
      <c r="C20" s="623"/>
      <c r="D20" s="623"/>
      <c r="E20" s="1309"/>
      <c r="F20" s="1377"/>
      <c r="G20" s="1314"/>
      <c r="H20" s="808"/>
      <c r="I20" s="808"/>
      <c r="J20" s="808"/>
      <c r="K20" s="808"/>
      <c r="L20" s="808"/>
      <c r="N20" s="541"/>
      <c r="Y20" s="8" cm="1">
        <f t="array" aca="1" ref="Y20" ca="1">CELL("protect",A20)</f>
        <v>1</v>
      </c>
      <c r="Z20" s="8" cm="1">
        <f t="array" aca="1" ref="Z20" ca="1">CELL("protect",B20)</f>
        <v>0</v>
      </c>
      <c r="AA20" s="8" cm="1">
        <f t="array" aca="1" ref="AA20" ca="1">CELL("protect",C20)</f>
        <v>0</v>
      </c>
      <c r="AB20" s="8" cm="1">
        <f t="array" aca="1" ref="AB20" ca="1">CELL("protect",D20)</f>
        <v>0</v>
      </c>
      <c r="AC20" s="8" cm="1">
        <f t="array" aca="1" ref="AC20" ca="1">CELL("protect",E20)</f>
        <v>1</v>
      </c>
      <c r="AD20" s="8" cm="1">
        <f t="array" aca="1" ref="AD20" ca="1">CELL("protect",F20)</f>
        <v>0</v>
      </c>
      <c r="AE20" s="8" cm="1">
        <f t="array" aca="1" ref="AE20" ca="1">CELL("protect",G20)</f>
        <v>0</v>
      </c>
      <c r="AF20" s="8" cm="1">
        <f t="array" aca="1" ref="AF20" ca="1">CELL("protect",H20)</f>
        <v>0</v>
      </c>
      <c r="AG20" s="8" cm="1">
        <f t="array" aca="1" ref="AG20" ca="1">CELL("protect",I20)</f>
        <v>0</v>
      </c>
      <c r="AH20" s="8" cm="1">
        <f t="array" aca="1" ref="AH20" ca="1">CELL("protect",J20)</f>
        <v>0</v>
      </c>
      <c r="AI20" s="8" cm="1">
        <f t="array" aca="1" ref="AI20" ca="1">CELL("protect",K20)</f>
        <v>0</v>
      </c>
      <c r="AJ20" s="8" cm="1">
        <f t="array" aca="1" ref="AJ20" ca="1">CELL("protect",L20)</f>
        <v>0</v>
      </c>
      <c r="AK20" s="8"/>
      <c r="AL20" s="8"/>
      <c r="AM20" s="8"/>
    </row>
    <row r="21" spans="1:39">
      <c r="A21" s="213">
        <f>ROW()</f>
        <v>21</v>
      </c>
      <c r="B21" s="1372" t="s">
        <v>802</v>
      </c>
      <c r="C21" s="1371"/>
      <c r="D21" s="1371"/>
      <c r="E21" s="1308"/>
      <c r="F21" s="1378"/>
      <c r="G21" s="1339"/>
      <c r="H21" s="1340"/>
      <c r="I21" s="1340"/>
      <c r="J21" s="1340"/>
      <c r="K21" s="1340"/>
      <c r="L21" s="1340"/>
      <c r="N21" s="541"/>
      <c r="Y21" s="8"/>
      <c r="Z21" s="8"/>
      <c r="AA21" s="8"/>
      <c r="AB21" s="8"/>
      <c r="AC21" s="8"/>
      <c r="AD21" s="8"/>
      <c r="AE21" s="8"/>
      <c r="AF21" s="8"/>
      <c r="AG21" s="8"/>
      <c r="AH21" s="8"/>
      <c r="AI21" s="8"/>
      <c r="AJ21" s="8"/>
      <c r="AK21" s="8"/>
      <c r="AL21" s="8"/>
      <c r="AM21" s="8"/>
    </row>
    <row r="22" spans="1:39">
      <c r="A22" s="213">
        <f>ROW()</f>
        <v>22</v>
      </c>
      <c r="B22" s="1373" t="s">
        <v>803</v>
      </c>
      <c r="C22" s="732" t="s">
        <v>804</v>
      </c>
      <c r="D22" s="427">
        <v>0</v>
      </c>
      <c r="E22" s="1381">
        <f t="shared" ref="E22" si="3">SUM(F22:L22)</f>
        <v>0</v>
      </c>
      <c r="F22" s="1376">
        <v>0</v>
      </c>
      <c r="G22" s="1313">
        <v>0</v>
      </c>
      <c r="H22" s="714">
        <v>0</v>
      </c>
      <c r="I22" s="714">
        <v>0</v>
      </c>
      <c r="J22" s="714">
        <v>0</v>
      </c>
      <c r="K22" s="714">
        <v>0</v>
      </c>
      <c r="L22" s="714">
        <v>0</v>
      </c>
      <c r="N22" s="541"/>
      <c r="Y22" s="8"/>
      <c r="Z22" s="8"/>
      <c r="AA22" s="8"/>
      <c r="AB22" s="8"/>
      <c r="AC22" s="8"/>
      <c r="AD22" s="8"/>
      <c r="AE22" s="8"/>
      <c r="AF22" s="8"/>
      <c r="AG22" s="8"/>
      <c r="AH22" s="8"/>
      <c r="AI22" s="8"/>
      <c r="AJ22" s="8"/>
      <c r="AK22" s="8"/>
      <c r="AL22" s="8"/>
      <c r="AM22" s="8"/>
    </row>
    <row r="23" spans="1:39">
      <c r="A23" s="213">
        <f>ROW()</f>
        <v>23</v>
      </c>
      <c r="B23" s="1373" t="s">
        <v>805</v>
      </c>
      <c r="C23" s="1371"/>
      <c r="D23" s="1371"/>
      <c r="E23" s="1308"/>
      <c r="F23" s="1378"/>
      <c r="G23" s="1339"/>
      <c r="H23" s="1340"/>
      <c r="I23" s="1340"/>
      <c r="J23" s="1340"/>
      <c r="K23" s="1340"/>
      <c r="L23" s="1340"/>
      <c r="N23" s="541"/>
      <c r="Y23" s="8"/>
      <c r="Z23" s="8"/>
      <c r="AA23" s="8"/>
      <c r="AB23" s="8"/>
      <c r="AC23" s="8"/>
      <c r="AD23" s="8"/>
      <c r="AE23" s="8"/>
      <c r="AF23" s="8"/>
      <c r="AG23" s="8"/>
      <c r="AH23" s="8"/>
      <c r="AI23" s="8"/>
      <c r="AJ23" s="8"/>
      <c r="AK23" s="8"/>
      <c r="AL23" s="8"/>
      <c r="AM23" s="8"/>
    </row>
    <row r="24" spans="1:39">
      <c r="A24" s="213">
        <f>ROW()</f>
        <v>24</v>
      </c>
      <c r="B24" s="1370"/>
      <c r="C24" s="1371"/>
      <c r="D24" s="1371"/>
      <c r="E24" s="1308"/>
      <c r="F24" s="1378"/>
      <c r="G24" s="1339"/>
      <c r="H24" s="1340"/>
      <c r="I24" s="1340"/>
      <c r="J24" s="1340"/>
      <c r="K24" s="1340"/>
      <c r="L24" s="1340"/>
      <c r="N24" s="541"/>
      <c r="Y24" s="8"/>
      <c r="Z24" s="8"/>
      <c r="AA24" s="8"/>
      <c r="AB24" s="8"/>
      <c r="AC24" s="8"/>
      <c r="AD24" s="8"/>
      <c r="AE24" s="8"/>
      <c r="AF24" s="8"/>
      <c r="AG24" s="8"/>
      <c r="AH24" s="8"/>
      <c r="AI24" s="8"/>
      <c r="AJ24" s="8"/>
      <c r="AK24" s="8"/>
      <c r="AL24" s="8"/>
      <c r="AM24" s="8"/>
    </row>
    <row r="25" spans="1:39">
      <c r="A25" s="213">
        <f>ROW()</f>
        <v>25</v>
      </c>
      <c r="B25" s="624" t="s">
        <v>806</v>
      </c>
      <c r="C25" s="620"/>
      <c r="D25" s="620"/>
      <c r="E25" s="1308"/>
      <c r="F25" s="1378"/>
      <c r="G25" s="1339"/>
      <c r="H25" s="1340"/>
      <c r="I25" s="1340"/>
      <c r="J25" s="1340"/>
      <c r="K25" s="1340"/>
      <c r="L25" s="1340"/>
      <c r="N25" s="541"/>
      <c r="Y25" s="8" cm="1">
        <f t="array" aca="1" ref="Y25" ca="1">CELL("protect",A25)</f>
        <v>1</v>
      </c>
      <c r="Z25" s="8" cm="1">
        <f t="array" aca="1" ref="Z25" ca="1">CELL("protect",B25)</f>
        <v>0</v>
      </c>
      <c r="AA25" s="8" cm="1">
        <f t="array" aca="1" ref="AA25" ca="1">CELL("protect",C25)</f>
        <v>0</v>
      </c>
      <c r="AB25" s="8" cm="1">
        <f t="array" aca="1" ref="AB25" ca="1">CELL("protect",D25)</f>
        <v>0</v>
      </c>
      <c r="AC25" s="8" cm="1">
        <f t="array" aca="1" ref="AC25" ca="1">CELL("protect",E25)</f>
        <v>1</v>
      </c>
      <c r="AD25" s="8" cm="1">
        <f t="array" aca="1" ref="AD25" ca="1">CELL("protect",F25)</f>
        <v>0</v>
      </c>
      <c r="AE25" s="8" cm="1">
        <f t="array" aca="1" ref="AE25" ca="1">CELL("protect",G25)</f>
        <v>0</v>
      </c>
      <c r="AF25" s="8" cm="1">
        <f t="array" aca="1" ref="AF25" ca="1">CELL("protect",H25)</f>
        <v>0</v>
      </c>
      <c r="AG25" s="8" cm="1">
        <f t="array" aca="1" ref="AG25" ca="1">CELL("protect",I25)</f>
        <v>0</v>
      </c>
      <c r="AH25" s="8" cm="1">
        <f t="array" aca="1" ref="AH25" ca="1">CELL("protect",J25)</f>
        <v>0</v>
      </c>
      <c r="AI25" s="8" cm="1">
        <f t="array" aca="1" ref="AI25" ca="1">CELL("protect",K25)</f>
        <v>0</v>
      </c>
      <c r="AJ25" s="8" cm="1">
        <f t="array" aca="1" ref="AJ25" ca="1">CELL("protect",L25)</f>
        <v>0</v>
      </c>
      <c r="AK25" s="8"/>
      <c r="AL25" s="8"/>
      <c r="AM25" s="8"/>
    </row>
    <row r="26" spans="1:39">
      <c r="A26" s="213">
        <f>ROW()</f>
        <v>26</v>
      </c>
      <c r="B26" s="423" t="s">
        <v>807</v>
      </c>
      <c r="C26" s="619"/>
      <c r="D26" s="619"/>
      <c r="E26" s="1311">
        <f t="shared" si="0"/>
        <v>0</v>
      </c>
      <c r="F26" s="1379">
        <v>0</v>
      </c>
      <c r="G26" s="1341">
        <f t="shared" si="1"/>
        <v>0</v>
      </c>
      <c r="H26" s="1342">
        <f t="shared" si="2"/>
        <v>0</v>
      </c>
      <c r="I26" s="1342">
        <f t="shared" si="2"/>
        <v>0</v>
      </c>
      <c r="J26" s="1342">
        <f t="shared" si="2"/>
        <v>0</v>
      </c>
      <c r="K26" s="1342">
        <f t="shared" si="2"/>
        <v>0</v>
      </c>
      <c r="L26" s="1342">
        <f t="shared" si="2"/>
        <v>0</v>
      </c>
      <c r="N26" s="541"/>
      <c r="Y26" s="8" cm="1">
        <f t="array" aca="1" ref="Y26" ca="1">CELL("protect",A26)</f>
        <v>1</v>
      </c>
      <c r="Z26" s="8" cm="1">
        <f t="array" aca="1" ref="Z26" ca="1">CELL("protect",B26)</f>
        <v>0</v>
      </c>
      <c r="AA26" s="8" cm="1">
        <f t="array" aca="1" ref="AA26" ca="1">CELL("protect",C26)</f>
        <v>0</v>
      </c>
      <c r="AB26" s="8" cm="1">
        <f t="array" aca="1" ref="AB26" ca="1">CELL("protect",D26)</f>
        <v>0</v>
      </c>
      <c r="AC26" s="8" cm="1">
        <f t="array" aca="1" ref="AC26" ca="1">CELL("protect",E26)</f>
        <v>1</v>
      </c>
      <c r="AD26" s="8" cm="1">
        <f t="array" aca="1" ref="AD26" ca="1">CELL("protect",F26)</f>
        <v>0</v>
      </c>
      <c r="AE26" s="8" cm="1">
        <f t="array" aca="1" ref="AE26" ca="1">CELL("protect",G26)</f>
        <v>0</v>
      </c>
      <c r="AF26" s="8" cm="1">
        <f t="array" aca="1" ref="AF26" ca="1">CELL("protect",H26)</f>
        <v>0</v>
      </c>
      <c r="AG26" s="8" cm="1">
        <f t="array" aca="1" ref="AG26" ca="1">CELL("protect",I26)</f>
        <v>0</v>
      </c>
      <c r="AH26" s="8" cm="1">
        <f t="array" aca="1" ref="AH26" ca="1">CELL("protect",J26)</f>
        <v>0</v>
      </c>
      <c r="AI26" s="8" cm="1">
        <f t="array" aca="1" ref="AI26" ca="1">CELL("protect",K26)</f>
        <v>0</v>
      </c>
      <c r="AJ26" s="8" cm="1">
        <f t="array" aca="1" ref="AJ26" ca="1">CELL("protect",L26)</f>
        <v>0</v>
      </c>
      <c r="AK26" s="8"/>
      <c r="AL26" s="8"/>
      <c r="AM26" s="8"/>
    </row>
    <row r="27" spans="1:39">
      <c r="A27" s="213">
        <f>ROW()</f>
        <v>27</v>
      </c>
      <c r="B27" s="428" t="s">
        <v>808</v>
      </c>
      <c r="C27" s="427">
        <v>0</v>
      </c>
      <c r="D27" s="427">
        <v>1100</v>
      </c>
      <c r="E27" s="1309">
        <f t="shared" si="0"/>
        <v>6600</v>
      </c>
      <c r="F27" s="1376">
        <v>0</v>
      </c>
      <c r="G27" s="1313">
        <f t="shared" si="1"/>
        <v>1100</v>
      </c>
      <c r="H27" s="714">
        <f t="shared" si="2"/>
        <v>1100</v>
      </c>
      <c r="I27" s="714">
        <f t="shared" si="2"/>
        <v>1100</v>
      </c>
      <c r="J27" s="714">
        <f t="shared" si="2"/>
        <v>1100</v>
      </c>
      <c r="K27" s="714">
        <f t="shared" si="2"/>
        <v>1100</v>
      </c>
      <c r="L27" s="714">
        <f t="shared" si="2"/>
        <v>1100</v>
      </c>
      <c r="N27" s="541"/>
      <c r="Y27" s="8" cm="1">
        <f t="array" aca="1" ref="Y27" ca="1">CELL("protect",A27)</f>
        <v>1</v>
      </c>
      <c r="Z27" s="8" cm="1">
        <f t="array" aca="1" ref="Z27" ca="1">CELL("protect",B27)</f>
        <v>0</v>
      </c>
      <c r="AA27" s="8" cm="1">
        <f t="array" aca="1" ref="AA27" ca="1">CELL("protect",C27)</f>
        <v>0</v>
      </c>
      <c r="AB27" s="8" cm="1">
        <f t="array" aca="1" ref="AB27" ca="1">CELL("protect",D27)</f>
        <v>0</v>
      </c>
      <c r="AC27" s="8" cm="1">
        <f t="array" aca="1" ref="AC27" ca="1">CELL("protect",E27)</f>
        <v>1</v>
      </c>
      <c r="AD27" s="8" cm="1">
        <f t="array" aca="1" ref="AD27" ca="1">CELL("protect",F27)</f>
        <v>0</v>
      </c>
      <c r="AE27" s="8" cm="1">
        <f t="array" aca="1" ref="AE27" ca="1">CELL("protect",G27)</f>
        <v>0</v>
      </c>
      <c r="AF27" s="8" cm="1">
        <f t="array" aca="1" ref="AF27" ca="1">CELL("protect",H27)</f>
        <v>0</v>
      </c>
      <c r="AG27" s="8" cm="1">
        <f t="array" aca="1" ref="AG27" ca="1">CELL("protect",I27)</f>
        <v>0</v>
      </c>
      <c r="AH27" s="8" cm="1">
        <f t="array" aca="1" ref="AH27" ca="1">CELL("protect",J27)</f>
        <v>0</v>
      </c>
      <c r="AI27" s="8" cm="1">
        <f t="array" aca="1" ref="AI27" ca="1">CELL("protect",K27)</f>
        <v>0</v>
      </c>
      <c r="AJ27" s="8" cm="1">
        <f t="array" aca="1" ref="AJ27" ca="1">CELL("protect",L27)</f>
        <v>0</v>
      </c>
      <c r="AK27" s="8"/>
      <c r="AL27" s="8"/>
      <c r="AM27" s="8"/>
    </row>
    <row r="28" spans="1:39" s="46" customFormat="1">
      <c r="A28" s="213">
        <f>ROW()</f>
        <v>28</v>
      </c>
      <c r="B28" s="1816" t="s">
        <v>809</v>
      </c>
      <c r="C28" s="427">
        <v>0</v>
      </c>
      <c r="D28" s="427">
        <v>5500</v>
      </c>
      <c r="E28" s="1309">
        <f t="shared" si="0"/>
        <v>33000</v>
      </c>
      <c r="F28" s="1376">
        <v>0</v>
      </c>
      <c r="G28" s="1313">
        <f t="shared" si="1"/>
        <v>5500</v>
      </c>
      <c r="H28" s="714">
        <f t="shared" si="2"/>
        <v>5500</v>
      </c>
      <c r="I28" s="714">
        <f t="shared" si="2"/>
        <v>5500</v>
      </c>
      <c r="J28" s="714">
        <f t="shared" si="2"/>
        <v>5500</v>
      </c>
      <c r="K28" s="714">
        <f t="shared" si="2"/>
        <v>5500</v>
      </c>
      <c r="L28" s="714">
        <f t="shared" si="2"/>
        <v>5500</v>
      </c>
      <c r="M28" s="42"/>
      <c r="N28" s="541"/>
      <c r="Y28" s="8" cm="1">
        <f t="array" aca="1" ref="Y28" ca="1">CELL("protect",A28)</f>
        <v>1</v>
      </c>
      <c r="Z28" s="8" cm="1">
        <f t="array" aca="1" ref="Z28" ca="1">CELL("protect",B28)</f>
        <v>0</v>
      </c>
      <c r="AA28" s="8" cm="1">
        <f t="array" aca="1" ref="AA28" ca="1">CELL("protect",C28)</f>
        <v>0</v>
      </c>
      <c r="AB28" s="8" cm="1">
        <f t="array" aca="1" ref="AB28" ca="1">CELL("protect",D28)</f>
        <v>0</v>
      </c>
      <c r="AC28" s="8" cm="1">
        <f t="array" aca="1" ref="AC28" ca="1">CELL("protect",E28)</f>
        <v>1</v>
      </c>
      <c r="AD28" s="8" cm="1">
        <f t="array" aca="1" ref="AD28" ca="1">CELL("protect",F28)</f>
        <v>0</v>
      </c>
      <c r="AE28" s="8" cm="1">
        <f t="array" aca="1" ref="AE28" ca="1">CELL("protect",G28)</f>
        <v>0</v>
      </c>
      <c r="AF28" s="8" cm="1">
        <f t="array" aca="1" ref="AF28" ca="1">CELL("protect",H28)</f>
        <v>0</v>
      </c>
      <c r="AG28" s="8" cm="1">
        <f t="array" aca="1" ref="AG28" ca="1">CELL("protect",I28)</f>
        <v>0</v>
      </c>
      <c r="AH28" s="8" cm="1">
        <f t="array" aca="1" ref="AH28" ca="1">CELL("protect",J28)</f>
        <v>0</v>
      </c>
      <c r="AI28" s="8" cm="1">
        <f t="array" aca="1" ref="AI28" ca="1">CELL("protect",K28)</f>
        <v>0</v>
      </c>
      <c r="AJ28" s="8" cm="1">
        <f t="array" aca="1" ref="AJ28" ca="1">CELL("protect",L28)</f>
        <v>0</v>
      </c>
      <c r="AK28" s="8"/>
      <c r="AL28" s="8"/>
      <c r="AM28" s="8"/>
    </row>
    <row r="29" spans="1:39" s="46" customFormat="1">
      <c r="A29" s="213">
        <f>ROW()</f>
        <v>29</v>
      </c>
      <c r="B29" s="1816" t="s">
        <v>810</v>
      </c>
      <c r="C29" s="427">
        <v>0</v>
      </c>
      <c r="D29" s="427"/>
      <c r="E29" s="1309">
        <f t="shared" si="0"/>
        <v>0</v>
      </c>
      <c r="F29" s="1376">
        <v>0</v>
      </c>
      <c r="G29" s="1313">
        <f t="shared" si="1"/>
        <v>0</v>
      </c>
      <c r="H29" s="714">
        <f t="shared" ref="H29:L38" si="4">+$D29</f>
        <v>0</v>
      </c>
      <c r="I29" s="714">
        <f t="shared" si="4"/>
        <v>0</v>
      </c>
      <c r="J29" s="714">
        <f t="shared" si="4"/>
        <v>0</v>
      </c>
      <c r="K29" s="714">
        <f t="shared" si="4"/>
        <v>0</v>
      </c>
      <c r="L29" s="714">
        <f t="shared" si="4"/>
        <v>0</v>
      </c>
      <c r="M29" s="42"/>
      <c r="N29" s="541"/>
      <c r="Y29" s="8" cm="1">
        <f t="array" aca="1" ref="Y29" ca="1">CELL("protect",A29)</f>
        <v>1</v>
      </c>
      <c r="Z29" s="8" cm="1">
        <f t="array" aca="1" ref="Z29" ca="1">CELL("protect",B29)</f>
        <v>0</v>
      </c>
      <c r="AA29" s="8" cm="1">
        <f t="array" aca="1" ref="AA29" ca="1">CELL("protect",C29)</f>
        <v>0</v>
      </c>
      <c r="AB29" s="8" cm="1">
        <f t="array" aca="1" ref="AB29" ca="1">CELL("protect",D29)</f>
        <v>0</v>
      </c>
      <c r="AC29" s="8" cm="1">
        <f t="array" aca="1" ref="AC29" ca="1">CELL("protect",E29)</f>
        <v>1</v>
      </c>
      <c r="AD29" s="8" cm="1">
        <f t="array" aca="1" ref="AD29" ca="1">CELL("protect",F29)</f>
        <v>0</v>
      </c>
      <c r="AE29" s="8" cm="1">
        <f t="array" aca="1" ref="AE29" ca="1">CELL("protect",G29)</f>
        <v>0</v>
      </c>
      <c r="AF29" s="8" cm="1">
        <f t="array" aca="1" ref="AF29" ca="1">CELL("protect",H29)</f>
        <v>0</v>
      </c>
      <c r="AG29" s="8" cm="1">
        <f t="array" aca="1" ref="AG29" ca="1">CELL("protect",I29)</f>
        <v>0</v>
      </c>
      <c r="AH29" s="8" cm="1">
        <f t="array" aca="1" ref="AH29" ca="1">CELL("protect",J29)</f>
        <v>0</v>
      </c>
      <c r="AI29" s="8" cm="1">
        <f t="array" aca="1" ref="AI29" ca="1">CELL("protect",K29)</f>
        <v>0</v>
      </c>
      <c r="AJ29" s="8" cm="1">
        <f t="array" aca="1" ref="AJ29" ca="1">CELL("protect",L29)</f>
        <v>0</v>
      </c>
      <c r="AK29" s="8"/>
      <c r="AL29" s="8"/>
      <c r="AM29" s="8"/>
    </row>
    <row r="30" spans="1:39" s="46" customFormat="1">
      <c r="A30" s="213">
        <f>ROW()</f>
        <v>30</v>
      </c>
      <c r="B30" s="1816" t="s">
        <v>811</v>
      </c>
      <c r="C30" s="427">
        <v>0</v>
      </c>
      <c r="D30" s="427">
        <v>2500</v>
      </c>
      <c r="E30" s="1309">
        <f t="shared" si="0"/>
        <v>15000</v>
      </c>
      <c r="F30" s="1376">
        <v>0</v>
      </c>
      <c r="G30" s="1313">
        <f t="shared" si="1"/>
        <v>2500</v>
      </c>
      <c r="H30" s="714">
        <f t="shared" si="4"/>
        <v>2500</v>
      </c>
      <c r="I30" s="714">
        <f t="shared" si="4"/>
        <v>2500</v>
      </c>
      <c r="J30" s="714">
        <f t="shared" si="4"/>
        <v>2500</v>
      </c>
      <c r="K30" s="714">
        <f t="shared" si="4"/>
        <v>2500</v>
      </c>
      <c r="L30" s="714">
        <f t="shared" si="4"/>
        <v>2500</v>
      </c>
      <c r="M30" s="42"/>
      <c r="N30" s="541"/>
      <c r="Y30" s="8" cm="1">
        <f t="array" aca="1" ref="Y30" ca="1">CELL("protect",A30)</f>
        <v>1</v>
      </c>
      <c r="Z30" s="8" cm="1">
        <f t="array" aca="1" ref="Z30" ca="1">CELL("protect",B30)</f>
        <v>0</v>
      </c>
      <c r="AA30" s="8" cm="1">
        <f t="array" aca="1" ref="AA30" ca="1">CELL("protect",C30)</f>
        <v>0</v>
      </c>
      <c r="AB30" s="8" cm="1">
        <f t="array" aca="1" ref="AB30" ca="1">CELL("protect",D30)</f>
        <v>0</v>
      </c>
      <c r="AC30" s="8" cm="1">
        <f t="array" aca="1" ref="AC30" ca="1">CELL("protect",E30)</f>
        <v>1</v>
      </c>
      <c r="AD30" s="8" cm="1">
        <f t="array" aca="1" ref="AD30" ca="1">CELL("protect",F30)</f>
        <v>0</v>
      </c>
      <c r="AE30" s="8" cm="1">
        <f t="array" aca="1" ref="AE30" ca="1">CELL("protect",G30)</f>
        <v>0</v>
      </c>
      <c r="AF30" s="8" cm="1">
        <f t="array" aca="1" ref="AF30" ca="1">CELL("protect",H30)</f>
        <v>0</v>
      </c>
      <c r="AG30" s="8" cm="1">
        <f t="array" aca="1" ref="AG30" ca="1">CELL("protect",I30)</f>
        <v>0</v>
      </c>
      <c r="AH30" s="8" cm="1">
        <f t="array" aca="1" ref="AH30" ca="1">CELL("protect",J30)</f>
        <v>0</v>
      </c>
      <c r="AI30" s="8" cm="1">
        <f t="array" aca="1" ref="AI30" ca="1">CELL("protect",K30)</f>
        <v>0</v>
      </c>
      <c r="AJ30" s="8" cm="1">
        <f t="array" aca="1" ref="AJ30" ca="1">CELL("protect",L30)</f>
        <v>0</v>
      </c>
      <c r="AK30" s="8"/>
      <c r="AL30" s="8"/>
      <c r="AM30" s="8"/>
    </row>
    <row r="31" spans="1:39" s="46" customFormat="1">
      <c r="A31" s="213">
        <f>ROW()</f>
        <v>31</v>
      </c>
      <c r="B31" s="1816" t="s">
        <v>812</v>
      </c>
      <c r="C31" s="427">
        <v>0</v>
      </c>
      <c r="D31" s="427"/>
      <c r="E31" s="1309">
        <f t="shared" si="0"/>
        <v>0</v>
      </c>
      <c r="F31" s="1376">
        <v>0</v>
      </c>
      <c r="G31" s="1313">
        <f t="shared" si="1"/>
        <v>0</v>
      </c>
      <c r="H31" s="714">
        <f t="shared" si="4"/>
        <v>0</v>
      </c>
      <c r="I31" s="714">
        <f t="shared" si="4"/>
        <v>0</v>
      </c>
      <c r="J31" s="714">
        <f t="shared" si="4"/>
        <v>0</v>
      </c>
      <c r="K31" s="714">
        <f t="shared" si="4"/>
        <v>0</v>
      </c>
      <c r="L31" s="714">
        <f t="shared" si="4"/>
        <v>0</v>
      </c>
      <c r="M31" s="42"/>
      <c r="N31" s="541"/>
      <c r="Y31" s="8" cm="1">
        <f t="array" aca="1" ref="Y31" ca="1">CELL("protect",A31)</f>
        <v>1</v>
      </c>
      <c r="Z31" s="8" cm="1">
        <f t="array" aca="1" ref="Z31" ca="1">CELL("protect",B31)</f>
        <v>0</v>
      </c>
      <c r="AA31" s="8" cm="1">
        <f t="array" aca="1" ref="AA31" ca="1">CELL("protect",C31)</f>
        <v>0</v>
      </c>
      <c r="AB31" s="8" cm="1">
        <f t="array" aca="1" ref="AB31" ca="1">CELL("protect",D31)</f>
        <v>0</v>
      </c>
      <c r="AC31" s="8" cm="1">
        <f t="array" aca="1" ref="AC31" ca="1">CELL("protect",E31)</f>
        <v>1</v>
      </c>
      <c r="AD31" s="8" cm="1">
        <f t="array" aca="1" ref="AD31" ca="1">CELL("protect",F31)</f>
        <v>0</v>
      </c>
      <c r="AE31" s="8" cm="1">
        <f t="array" aca="1" ref="AE31" ca="1">CELL("protect",G31)</f>
        <v>0</v>
      </c>
      <c r="AF31" s="8" cm="1">
        <f t="array" aca="1" ref="AF31" ca="1">CELL("protect",H31)</f>
        <v>0</v>
      </c>
      <c r="AG31" s="8" cm="1">
        <f t="array" aca="1" ref="AG31" ca="1">CELL("protect",I31)</f>
        <v>0</v>
      </c>
      <c r="AH31" s="8" cm="1">
        <f t="array" aca="1" ref="AH31" ca="1">CELL("protect",J31)</f>
        <v>0</v>
      </c>
      <c r="AI31" s="8" cm="1">
        <f t="array" aca="1" ref="AI31" ca="1">CELL("protect",K31)</f>
        <v>0</v>
      </c>
      <c r="AJ31" s="8" cm="1">
        <f t="array" aca="1" ref="AJ31" ca="1">CELL("protect",L31)</f>
        <v>0</v>
      </c>
      <c r="AK31" s="8"/>
      <c r="AL31" s="8"/>
      <c r="AM31" s="8"/>
    </row>
    <row r="32" spans="1:39" s="46" customFormat="1">
      <c r="A32" s="213">
        <f>ROW()</f>
        <v>32</v>
      </c>
      <c r="B32" s="1816" t="s">
        <v>813</v>
      </c>
      <c r="C32" s="427">
        <v>0</v>
      </c>
      <c r="D32" s="427">
        <v>0</v>
      </c>
      <c r="E32" s="1309">
        <f t="shared" si="0"/>
        <v>0</v>
      </c>
      <c r="F32" s="1376">
        <v>0</v>
      </c>
      <c r="G32" s="1313">
        <f t="shared" si="1"/>
        <v>0</v>
      </c>
      <c r="H32" s="714">
        <f t="shared" si="4"/>
        <v>0</v>
      </c>
      <c r="I32" s="714">
        <f t="shared" si="4"/>
        <v>0</v>
      </c>
      <c r="J32" s="714">
        <f t="shared" si="4"/>
        <v>0</v>
      </c>
      <c r="K32" s="714">
        <f t="shared" si="4"/>
        <v>0</v>
      </c>
      <c r="L32" s="714">
        <f t="shared" si="4"/>
        <v>0</v>
      </c>
      <c r="M32" s="42"/>
      <c r="N32" s="541"/>
      <c r="Y32" s="8" cm="1">
        <f t="array" aca="1" ref="Y32" ca="1">CELL("protect",A32)</f>
        <v>1</v>
      </c>
      <c r="Z32" s="8" cm="1">
        <f t="array" aca="1" ref="Z32" ca="1">CELL("protect",B32)</f>
        <v>0</v>
      </c>
      <c r="AA32" s="8" cm="1">
        <f t="array" aca="1" ref="AA32" ca="1">CELL("protect",C32)</f>
        <v>0</v>
      </c>
      <c r="AB32" s="8" cm="1">
        <f t="array" aca="1" ref="AB32" ca="1">CELL("protect",D32)</f>
        <v>0</v>
      </c>
      <c r="AC32" s="8" cm="1">
        <f t="array" aca="1" ref="AC32" ca="1">CELL("protect",E32)</f>
        <v>1</v>
      </c>
      <c r="AD32" s="8" cm="1">
        <f t="array" aca="1" ref="AD32" ca="1">CELL("protect",F32)</f>
        <v>0</v>
      </c>
      <c r="AE32" s="8" cm="1">
        <f t="array" aca="1" ref="AE32" ca="1">CELL("protect",G32)</f>
        <v>0</v>
      </c>
      <c r="AF32" s="8" cm="1">
        <f t="array" aca="1" ref="AF32" ca="1">CELL("protect",H32)</f>
        <v>0</v>
      </c>
      <c r="AG32" s="8" cm="1">
        <f t="array" aca="1" ref="AG32" ca="1">CELL("protect",I32)</f>
        <v>0</v>
      </c>
      <c r="AH32" s="8" cm="1">
        <f t="array" aca="1" ref="AH32" ca="1">CELL("protect",J32)</f>
        <v>0</v>
      </c>
      <c r="AI32" s="8" cm="1">
        <f t="array" aca="1" ref="AI32" ca="1">CELL("protect",K32)</f>
        <v>0</v>
      </c>
      <c r="AJ32" s="8" cm="1">
        <f t="array" aca="1" ref="AJ32" ca="1">CELL("protect",L32)</f>
        <v>0</v>
      </c>
      <c r="AK32" s="8"/>
      <c r="AL32" s="8"/>
      <c r="AM32" s="8"/>
    </row>
    <row r="33" spans="1:39" s="46" customFormat="1">
      <c r="A33" s="213">
        <f>ROW()</f>
        <v>33</v>
      </c>
      <c r="B33" s="1816" t="s">
        <v>814</v>
      </c>
      <c r="C33" s="427">
        <v>0</v>
      </c>
      <c r="D33" s="427">
        <v>0</v>
      </c>
      <c r="E33" s="1309">
        <f t="shared" si="0"/>
        <v>0</v>
      </c>
      <c r="F33" s="1376">
        <v>0</v>
      </c>
      <c r="G33" s="1313">
        <f t="shared" si="1"/>
        <v>0</v>
      </c>
      <c r="H33" s="714">
        <f t="shared" si="4"/>
        <v>0</v>
      </c>
      <c r="I33" s="714">
        <f t="shared" si="4"/>
        <v>0</v>
      </c>
      <c r="J33" s="714">
        <f t="shared" si="4"/>
        <v>0</v>
      </c>
      <c r="K33" s="714">
        <f t="shared" si="4"/>
        <v>0</v>
      </c>
      <c r="L33" s="714">
        <f t="shared" si="4"/>
        <v>0</v>
      </c>
      <c r="M33" s="42"/>
      <c r="N33" s="541"/>
      <c r="Y33" s="8" cm="1">
        <f t="array" aca="1" ref="Y33" ca="1">CELL("protect",A33)</f>
        <v>1</v>
      </c>
      <c r="Z33" s="8" cm="1">
        <f t="array" aca="1" ref="Z33" ca="1">CELL("protect",B33)</f>
        <v>0</v>
      </c>
      <c r="AA33" s="8" cm="1">
        <f t="array" aca="1" ref="AA33" ca="1">CELL("protect",C33)</f>
        <v>0</v>
      </c>
      <c r="AB33" s="8" cm="1">
        <f t="array" aca="1" ref="AB33" ca="1">CELL("protect",D33)</f>
        <v>0</v>
      </c>
      <c r="AC33" s="8" cm="1">
        <f t="array" aca="1" ref="AC33" ca="1">CELL("protect",E33)</f>
        <v>1</v>
      </c>
      <c r="AD33" s="8" cm="1">
        <f t="array" aca="1" ref="AD33" ca="1">CELL("protect",F33)</f>
        <v>0</v>
      </c>
      <c r="AE33" s="8" cm="1">
        <f t="array" aca="1" ref="AE33" ca="1">CELL("protect",G33)</f>
        <v>0</v>
      </c>
      <c r="AF33" s="8" cm="1">
        <f t="array" aca="1" ref="AF33" ca="1">CELL("protect",H33)</f>
        <v>0</v>
      </c>
      <c r="AG33" s="8" cm="1">
        <f t="array" aca="1" ref="AG33" ca="1">CELL("protect",I33)</f>
        <v>0</v>
      </c>
      <c r="AH33" s="8" cm="1">
        <f t="array" aca="1" ref="AH33" ca="1">CELL("protect",J33)</f>
        <v>0</v>
      </c>
      <c r="AI33" s="8" cm="1">
        <f t="array" aca="1" ref="AI33" ca="1">CELL("protect",K33)</f>
        <v>0</v>
      </c>
      <c r="AJ33" s="8" cm="1">
        <f t="array" aca="1" ref="AJ33" ca="1">CELL("protect",L33)</f>
        <v>0</v>
      </c>
      <c r="AK33" s="8"/>
      <c r="AL33" s="8"/>
      <c r="AM33" s="8"/>
    </row>
    <row r="34" spans="1:39" s="46" customFormat="1">
      <c r="A34" s="213">
        <f>ROW()</f>
        <v>34</v>
      </c>
      <c r="B34" s="1816" t="s">
        <v>815</v>
      </c>
      <c r="C34" s="427">
        <v>0</v>
      </c>
      <c r="D34" s="427">
        <v>0</v>
      </c>
      <c r="E34" s="1309">
        <f t="shared" si="0"/>
        <v>0</v>
      </c>
      <c r="F34" s="1376">
        <v>0</v>
      </c>
      <c r="G34" s="1313">
        <f t="shared" si="1"/>
        <v>0</v>
      </c>
      <c r="H34" s="714">
        <f t="shared" si="4"/>
        <v>0</v>
      </c>
      <c r="I34" s="714">
        <f t="shared" si="4"/>
        <v>0</v>
      </c>
      <c r="J34" s="714">
        <f t="shared" si="4"/>
        <v>0</v>
      </c>
      <c r="K34" s="714">
        <f t="shared" si="4"/>
        <v>0</v>
      </c>
      <c r="L34" s="714">
        <f t="shared" si="4"/>
        <v>0</v>
      </c>
      <c r="M34" s="42"/>
      <c r="N34" s="541"/>
      <c r="Y34" s="8" cm="1">
        <f t="array" aca="1" ref="Y34" ca="1">CELL("protect",A34)</f>
        <v>1</v>
      </c>
      <c r="Z34" s="8" cm="1">
        <f t="array" aca="1" ref="Z34" ca="1">CELL("protect",B34)</f>
        <v>0</v>
      </c>
      <c r="AA34" s="8" cm="1">
        <f t="array" aca="1" ref="AA34" ca="1">CELL("protect",C34)</f>
        <v>0</v>
      </c>
      <c r="AB34" s="8" cm="1">
        <f t="array" aca="1" ref="AB34" ca="1">CELL("protect",D34)</f>
        <v>0</v>
      </c>
      <c r="AC34" s="8" cm="1">
        <f t="array" aca="1" ref="AC34" ca="1">CELL("protect",E34)</f>
        <v>1</v>
      </c>
      <c r="AD34" s="8" cm="1">
        <f t="array" aca="1" ref="AD34" ca="1">CELL("protect",F34)</f>
        <v>0</v>
      </c>
      <c r="AE34" s="8" cm="1">
        <f t="array" aca="1" ref="AE34" ca="1">CELL("protect",G34)</f>
        <v>0</v>
      </c>
      <c r="AF34" s="8" cm="1">
        <f t="array" aca="1" ref="AF34" ca="1">CELL("protect",H34)</f>
        <v>0</v>
      </c>
      <c r="AG34" s="8" cm="1">
        <f t="array" aca="1" ref="AG34" ca="1">CELL("protect",I34)</f>
        <v>0</v>
      </c>
      <c r="AH34" s="8" cm="1">
        <f t="array" aca="1" ref="AH34" ca="1">CELL("protect",J34)</f>
        <v>0</v>
      </c>
      <c r="AI34" s="8" cm="1">
        <f t="array" aca="1" ref="AI34" ca="1">CELL("protect",K34)</f>
        <v>0</v>
      </c>
      <c r="AJ34" s="8" cm="1">
        <f t="array" aca="1" ref="AJ34" ca="1">CELL("protect",L34)</f>
        <v>0</v>
      </c>
      <c r="AK34" s="8"/>
      <c r="AL34" s="8"/>
      <c r="AM34" s="8"/>
    </row>
    <row r="35" spans="1:39" s="46" customFormat="1">
      <c r="A35" s="213">
        <f>ROW()</f>
        <v>35</v>
      </c>
      <c r="B35" s="524" t="s">
        <v>816</v>
      </c>
      <c r="C35" s="427">
        <v>0</v>
      </c>
      <c r="D35" s="427">
        <v>0</v>
      </c>
      <c r="E35" s="1309">
        <f t="shared" si="0"/>
        <v>0</v>
      </c>
      <c r="F35" s="1376">
        <v>0</v>
      </c>
      <c r="G35" s="1313">
        <f t="shared" si="1"/>
        <v>0</v>
      </c>
      <c r="H35" s="714">
        <f t="shared" si="4"/>
        <v>0</v>
      </c>
      <c r="I35" s="714">
        <f t="shared" si="4"/>
        <v>0</v>
      </c>
      <c r="J35" s="714">
        <f t="shared" si="4"/>
        <v>0</v>
      </c>
      <c r="K35" s="714">
        <f t="shared" si="4"/>
        <v>0</v>
      </c>
      <c r="L35" s="714">
        <f t="shared" si="4"/>
        <v>0</v>
      </c>
      <c r="M35" s="42"/>
      <c r="N35" s="541"/>
      <c r="Y35" s="8" cm="1">
        <f t="array" aca="1" ref="Y35" ca="1">CELL("protect",A35)</f>
        <v>1</v>
      </c>
      <c r="Z35" s="8" cm="1">
        <f t="array" aca="1" ref="Z35" ca="1">CELL("protect",B35)</f>
        <v>0</v>
      </c>
      <c r="AA35" s="8" cm="1">
        <f t="array" aca="1" ref="AA35" ca="1">CELL("protect",C35)</f>
        <v>0</v>
      </c>
      <c r="AB35" s="8" cm="1">
        <f t="array" aca="1" ref="AB35" ca="1">CELL("protect",D35)</f>
        <v>0</v>
      </c>
      <c r="AC35" s="8" cm="1">
        <f t="array" aca="1" ref="AC35" ca="1">CELL("protect",E35)</f>
        <v>1</v>
      </c>
      <c r="AD35" s="8" cm="1">
        <f t="array" aca="1" ref="AD35" ca="1">CELL("protect",F35)</f>
        <v>0</v>
      </c>
      <c r="AE35" s="8" cm="1">
        <f t="array" aca="1" ref="AE35" ca="1">CELL("protect",G35)</f>
        <v>0</v>
      </c>
      <c r="AF35" s="8" cm="1">
        <f t="array" aca="1" ref="AF35" ca="1">CELL("protect",H35)</f>
        <v>0</v>
      </c>
      <c r="AG35" s="8" cm="1">
        <f t="array" aca="1" ref="AG35" ca="1">CELL("protect",I35)</f>
        <v>0</v>
      </c>
      <c r="AH35" s="8" cm="1">
        <f t="array" aca="1" ref="AH35" ca="1">CELL("protect",J35)</f>
        <v>0</v>
      </c>
      <c r="AI35" s="8" cm="1">
        <f t="array" aca="1" ref="AI35" ca="1">CELL("protect",K35)</f>
        <v>0</v>
      </c>
      <c r="AJ35" s="8" cm="1">
        <f t="array" aca="1" ref="AJ35" ca="1">CELL("protect",L35)</f>
        <v>0</v>
      </c>
      <c r="AK35" s="8"/>
      <c r="AL35" s="8"/>
      <c r="AM35" s="8"/>
    </row>
    <row r="36" spans="1:39" s="46" customFormat="1">
      <c r="A36" s="213">
        <f>ROW()</f>
        <v>36</v>
      </c>
      <c r="B36" s="524" t="s">
        <v>817</v>
      </c>
      <c r="C36" s="427">
        <v>0</v>
      </c>
      <c r="D36" s="427">
        <v>0</v>
      </c>
      <c r="E36" s="1309">
        <f t="shared" si="0"/>
        <v>0</v>
      </c>
      <c r="F36" s="1376">
        <v>0</v>
      </c>
      <c r="G36" s="1313">
        <f t="shared" si="1"/>
        <v>0</v>
      </c>
      <c r="H36" s="714">
        <f t="shared" si="4"/>
        <v>0</v>
      </c>
      <c r="I36" s="714">
        <f t="shared" si="4"/>
        <v>0</v>
      </c>
      <c r="J36" s="714">
        <f t="shared" si="4"/>
        <v>0</v>
      </c>
      <c r="K36" s="714">
        <f t="shared" si="4"/>
        <v>0</v>
      </c>
      <c r="L36" s="714">
        <f t="shared" si="4"/>
        <v>0</v>
      </c>
      <c r="M36" s="42"/>
      <c r="N36" s="541"/>
      <c r="Y36" s="8" cm="1">
        <f t="array" aca="1" ref="Y36" ca="1">CELL("protect",A36)</f>
        <v>1</v>
      </c>
      <c r="Z36" s="8" cm="1">
        <f t="array" aca="1" ref="Z36" ca="1">CELL("protect",B36)</f>
        <v>0</v>
      </c>
      <c r="AA36" s="8" cm="1">
        <f t="array" aca="1" ref="AA36" ca="1">CELL("protect",C36)</f>
        <v>0</v>
      </c>
      <c r="AB36" s="8" cm="1">
        <f t="array" aca="1" ref="AB36" ca="1">CELL("protect",D36)</f>
        <v>0</v>
      </c>
      <c r="AC36" s="8" cm="1">
        <f t="array" aca="1" ref="AC36" ca="1">CELL("protect",E36)</f>
        <v>1</v>
      </c>
      <c r="AD36" s="8" cm="1">
        <f t="array" aca="1" ref="AD36" ca="1">CELL("protect",F36)</f>
        <v>0</v>
      </c>
      <c r="AE36" s="8" cm="1">
        <f t="array" aca="1" ref="AE36" ca="1">CELL("protect",G36)</f>
        <v>0</v>
      </c>
      <c r="AF36" s="8" cm="1">
        <f t="array" aca="1" ref="AF36" ca="1">CELL("protect",H36)</f>
        <v>0</v>
      </c>
      <c r="AG36" s="8" cm="1">
        <f t="array" aca="1" ref="AG36" ca="1">CELL("protect",I36)</f>
        <v>0</v>
      </c>
      <c r="AH36" s="8" cm="1">
        <f t="array" aca="1" ref="AH36" ca="1">CELL("protect",J36)</f>
        <v>0</v>
      </c>
      <c r="AI36" s="8" cm="1">
        <f t="array" aca="1" ref="AI36" ca="1">CELL("protect",K36)</f>
        <v>0</v>
      </c>
      <c r="AJ36" s="8" cm="1">
        <f t="array" aca="1" ref="AJ36" ca="1">CELL("protect",L36)</f>
        <v>0</v>
      </c>
      <c r="AK36" s="8"/>
      <c r="AL36" s="8"/>
      <c r="AM36" s="8"/>
    </row>
    <row r="37" spans="1:39" s="46" customFormat="1">
      <c r="A37" s="213">
        <f>ROW()</f>
        <v>37</v>
      </c>
      <c r="B37" s="1816" t="s">
        <v>818</v>
      </c>
      <c r="C37" s="427">
        <v>0</v>
      </c>
      <c r="D37" s="427">
        <v>0</v>
      </c>
      <c r="E37" s="1309">
        <f t="shared" si="0"/>
        <v>0</v>
      </c>
      <c r="F37" s="1376">
        <v>0</v>
      </c>
      <c r="G37" s="1313">
        <f t="shared" si="1"/>
        <v>0</v>
      </c>
      <c r="H37" s="714">
        <f t="shared" si="4"/>
        <v>0</v>
      </c>
      <c r="I37" s="714">
        <f t="shared" si="4"/>
        <v>0</v>
      </c>
      <c r="J37" s="714">
        <f t="shared" si="4"/>
        <v>0</v>
      </c>
      <c r="K37" s="714">
        <f t="shared" si="4"/>
        <v>0</v>
      </c>
      <c r="L37" s="714">
        <f t="shared" si="4"/>
        <v>0</v>
      </c>
      <c r="M37" s="42"/>
      <c r="N37" s="541"/>
      <c r="Y37" s="8" cm="1">
        <f t="array" aca="1" ref="Y37" ca="1">CELL("protect",A37)</f>
        <v>1</v>
      </c>
      <c r="Z37" s="8" cm="1">
        <f t="array" aca="1" ref="Z37" ca="1">CELL("protect",B37)</f>
        <v>0</v>
      </c>
      <c r="AA37" s="8" cm="1">
        <f t="array" aca="1" ref="AA37" ca="1">CELL("protect",C37)</f>
        <v>0</v>
      </c>
      <c r="AB37" s="8" cm="1">
        <f t="array" aca="1" ref="AB37" ca="1">CELL("protect",D37)</f>
        <v>0</v>
      </c>
      <c r="AC37" s="8" cm="1">
        <f t="array" aca="1" ref="AC37" ca="1">CELL("protect",E37)</f>
        <v>1</v>
      </c>
      <c r="AD37" s="8" cm="1">
        <f t="array" aca="1" ref="AD37" ca="1">CELL("protect",F37)</f>
        <v>0</v>
      </c>
      <c r="AE37" s="8" cm="1">
        <f t="array" aca="1" ref="AE37" ca="1">CELL("protect",G37)</f>
        <v>0</v>
      </c>
      <c r="AF37" s="8" cm="1">
        <f t="array" aca="1" ref="AF37" ca="1">CELL("protect",H37)</f>
        <v>0</v>
      </c>
      <c r="AG37" s="8" cm="1">
        <f t="array" aca="1" ref="AG37" ca="1">CELL("protect",I37)</f>
        <v>0</v>
      </c>
      <c r="AH37" s="8" cm="1">
        <f t="array" aca="1" ref="AH37" ca="1">CELL("protect",J37)</f>
        <v>0</v>
      </c>
      <c r="AI37" s="8" cm="1">
        <f t="array" aca="1" ref="AI37" ca="1">CELL("protect",K37)</f>
        <v>0</v>
      </c>
      <c r="AJ37" s="8" cm="1">
        <f t="array" aca="1" ref="AJ37" ca="1">CELL("protect",L37)</f>
        <v>0</v>
      </c>
      <c r="AK37" s="8"/>
      <c r="AL37" s="8"/>
      <c r="AM37" s="8"/>
    </row>
    <row r="38" spans="1:39" s="46" customFormat="1">
      <c r="A38" s="213">
        <f>ROW()</f>
        <v>38</v>
      </c>
      <c r="B38" s="1816" t="s">
        <v>819</v>
      </c>
      <c r="C38" s="427">
        <v>0</v>
      </c>
      <c r="D38" s="427">
        <v>0</v>
      </c>
      <c r="E38" s="1309">
        <f t="shared" si="0"/>
        <v>0</v>
      </c>
      <c r="F38" s="1376">
        <v>0</v>
      </c>
      <c r="G38" s="1313">
        <f t="shared" si="1"/>
        <v>0</v>
      </c>
      <c r="H38" s="714">
        <f t="shared" si="4"/>
        <v>0</v>
      </c>
      <c r="I38" s="714">
        <f t="shared" si="4"/>
        <v>0</v>
      </c>
      <c r="J38" s="714">
        <f t="shared" si="4"/>
        <v>0</v>
      </c>
      <c r="K38" s="714">
        <f t="shared" si="4"/>
        <v>0</v>
      </c>
      <c r="L38" s="714">
        <f t="shared" si="4"/>
        <v>0</v>
      </c>
      <c r="M38" s="42"/>
      <c r="N38" s="541"/>
      <c r="Y38" s="8" cm="1">
        <f t="array" aca="1" ref="Y38" ca="1">CELL("protect",A38)</f>
        <v>1</v>
      </c>
      <c r="Z38" s="8" cm="1">
        <f t="array" aca="1" ref="Z38" ca="1">CELL("protect",B38)</f>
        <v>0</v>
      </c>
      <c r="AA38" s="8" cm="1">
        <f t="array" aca="1" ref="AA38" ca="1">CELL("protect",C38)</f>
        <v>0</v>
      </c>
      <c r="AB38" s="8" cm="1">
        <f t="array" aca="1" ref="AB38" ca="1">CELL("protect",D38)</f>
        <v>0</v>
      </c>
      <c r="AC38" s="8" cm="1">
        <f t="array" aca="1" ref="AC38" ca="1">CELL("protect",E38)</f>
        <v>1</v>
      </c>
      <c r="AD38" s="8" cm="1">
        <f t="array" aca="1" ref="AD38" ca="1">CELL("protect",F38)</f>
        <v>0</v>
      </c>
      <c r="AE38" s="8" cm="1">
        <f t="array" aca="1" ref="AE38" ca="1">CELL("protect",G38)</f>
        <v>0</v>
      </c>
      <c r="AF38" s="8" cm="1">
        <f t="array" aca="1" ref="AF38" ca="1">CELL("protect",H38)</f>
        <v>0</v>
      </c>
      <c r="AG38" s="8" cm="1">
        <f t="array" aca="1" ref="AG38" ca="1">CELL("protect",I38)</f>
        <v>0</v>
      </c>
      <c r="AH38" s="8" cm="1">
        <f t="array" aca="1" ref="AH38" ca="1">CELL("protect",J38)</f>
        <v>0</v>
      </c>
      <c r="AI38" s="8" cm="1">
        <f t="array" aca="1" ref="AI38" ca="1">CELL("protect",K38)</f>
        <v>0</v>
      </c>
      <c r="AJ38" s="8" cm="1">
        <f t="array" aca="1" ref="AJ38" ca="1">CELL("protect",L38)</f>
        <v>0</v>
      </c>
      <c r="AK38" s="8"/>
      <c r="AL38" s="8"/>
      <c r="AM38" s="8"/>
    </row>
    <row r="39" spans="1:39" s="46" customFormat="1">
      <c r="A39" s="213">
        <f>ROW()</f>
        <v>39</v>
      </c>
      <c r="B39" s="1816" t="s">
        <v>1286</v>
      </c>
      <c r="C39" s="427"/>
      <c r="D39" s="427">
        <v>2000</v>
      </c>
      <c r="E39" s="1309">
        <f t="shared" si="0"/>
        <v>12000</v>
      </c>
      <c r="F39" s="1376">
        <v>0</v>
      </c>
      <c r="G39" s="1313">
        <f t="shared" si="1"/>
        <v>2000</v>
      </c>
      <c r="H39" s="714">
        <f t="shared" ref="H39:L46" si="5">+$D39</f>
        <v>2000</v>
      </c>
      <c r="I39" s="714">
        <f t="shared" si="5"/>
        <v>2000</v>
      </c>
      <c r="J39" s="714">
        <f t="shared" si="5"/>
        <v>2000</v>
      </c>
      <c r="K39" s="714">
        <f t="shared" si="5"/>
        <v>2000</v>
      </c>
      <c r="L39" s="714">
        <f t="shared" si="5"/>
        <v>2000</v>
      </c>
      <c r="M39" s="42"/>
      <c r="N39" s="541"/>
      <c r="Y39" s="8" cm="1">
        <f t="array" aca="1" ref="Y39" ca="1">CELL("protect",A39)</f>
        <v>1</v>
      </c>
      <c r="Z39" s="8" cm="1">
        <f t="array" aca="1" ref="Z39" ca="1">CELL("protect",B39)</f>
        <v>0</v>
      </c>
      <c r="AA39" s="8" cm="1">
        <f t="array" aca="1" ref="AA39" ca="1">CELL("protect",C39)</f>
        <v>0</v>
      </c>
      <c r="AB39" s="8" cm="1">
        <f t="array" aca="1" ref="AB39" ca="1">CELL("protect",D39)</f>
        <v>0</v>
      </c>
      <c r="AC39" s="8" cm="1">
        <f t="array" aca="1" ref="AC39" ca="1">CELL("protect",E39)</f>
        <v>1</v>
      </c>
      <c r="AD39" s="8" cm="1">
        <f t="array" aca="1" ref="AD39" ca="1">CELL("protect",F39)</f>
        <v>0</v>
      </c>
      <c r="AE39" s="8" cm="1">
        <f t="array" aca="1" ref="AE39" ca="1">CELL("protect",G39)</f>
        <v>0</v>
      </c>
      <c r="AF39" s="8" cm="1">
        <f t="array" aca="1" ref="AF39" ca="1">CELL("protect",H39)</f>
        <v>0</v>
      </c>
      <c r="AG39" s="8" cm="1">
        <f t="array" aca="1" ref="AG39" ca="1">CELL("protect",I39)</f>
        <v>0</v>
      </c>
      <c r="AH39" s="8" cm="1">
        <f t="array" aca="1" ref="AH39" ca="1">CELL("protect",J39)</f>
        <v>0</v>
      </c>
      <c r="AI39" s="8" cm="1">
        <f t="array" aca="1" ref="AI39" ca="1">CELL("protect",K39)</f>
        <v>0</v>
      </c>
      <c r="AJ39" s="8" cm="1">
        <f t="array" aca="1" ref="AJ39" ca="1">CELL("protect",L39)</f>
        <v>0</v>
      </c>
      <c r="AK39" s="8"/>
      <c r="AL39" s="8"/>
      <c r="AM39" s="8"/>
    </row>
    <row r="40" spans="1:39" s="46" customFormat="1">
      <c r="A40" s="213">
        <f>ROW()</f>
        <v>40</v>
      </c>
      <c r="B40" s="1816"/>
      <c r="C40" s="429"/>
      <c r="D40" s="429"/>
      <c r="E40" s="1309">
        <f t="shared" si="0"/>
        <v>0</v>
      </c>
      <c r="F40" s="1376">
        <v>0</v>
      </c>
      <c r="G40" s="1313">
        <f t="shared" si="1"/>
        <v>0</v>
      </c>
      <c r="H40" s="714">
        <f t="shared" si="5"/>
        <v>0</v>
      </c>
      <c r="I40" s="714">
        <f t="shared" si="5"/>
        <v>0</v>
      </c>
      <c r="J40" s="714">
        <f t="shared" si="5"/>
        <v>0</v>
      </c>
      <c r="K40" s="714">
        <f t="shared" si="5"/>
        <v>0</v>
      </c>
      <c r="L40" s="714">
        <f t="shared" si="5"/>
        <v>0</v>
      </c>
      <c r="M40" s="42"/>
      <c r="N40" s="541"/>
      <c r="Y40" s="8" cm="1">
        <f t="array" aca="1" ref="Y40" ca="1">CELL("protect",A40)</f>
        <v>1</v>
      </c>
      <c r="Z40" s="8" cm="1">
        <f t="array" aca="1" ref="Z40" ca="1">CELL("protect",B40)</f>
        <v>0</v>
      </c>
      <c r="AA40" s="8" cm="1">
        <f t="array" aca="1" ref="AA40" ca="1">CELL("protect",C40)</f>
        <v>0</v>
      </c>
      <c r="AB40" s="8" cm="1">
        <f t="array" aca="1" ref="AB40" ca="1">CELL("protect",D40)</f>
        <v>0</v>
      </c>
      <c r="AC40" s="8" cm="1">
        <f t="array" aca="1" ref="AC40" ca="1">CELL("protect",E40)</f>
        <v>1</v>
      </c>
      <c r="AD40" s="8" cm="1">
        <f t="array" aca="1" ref="AD40" ca="1">CELL("protect",F40)</f>
        <v>0</v>
      </c>
      <c r="AE40" s="8" cm="1">
        <f t="array" aca="1" ref="AE40" ca="1">CELL("protect",G40)</f>
        <v>0</v>
      </c>
      <c r="AF40" s="8" cm="1">
        <f t="array" aca="1" ref="AF40" ca="1">CELL("protect",H40)</f>
        <v>0</v>
      </c>
      <c r="AG40" s="8" cm="1">
        <f t="array" aca="1" ref="AG40" ca="1">CELL("protect",I40)</f>
        <v>0</v>
      </c>
      <c r="AH40" s="8" cm="1">
        <f t="array" aca="1" ref="AH40" ca="1">CELL("protect",J40)</f>
        <v>0</v>
      </c>
      <c r="AI40" s="8" cm="1">
        <f t="array" aca="1" ref="AI40" ca="1">CELL("protect",K40)</f>
        <v>0</v>
      </c>
      <c r="AJ40" s="8" cm="1">
        <f t="array" aca="1" ref="AJ40" ca="1">CELL("protect",L40)</f>
        <v>0</v>
      </c>
      <c r="AK40" s="8"/>
      <c r="AL40" s="8"/>
      <c r="AM40" s="8"/>
    </row>
    <row r="41" spans="1:39" s="46" customFormat="1">
      <c r="A41" s="213">
        <f>ROW()</f>
        <v>41</v>
      </c>
      <c r="B41" s="1816"/>
      <c r="C41" s="429"/>
      <c r="D41" s="429"/>
      <c r="E41" s="1309">
        <f t="shared" si="0"/>
        <v>0</v>
      </c>
      <c r="F41" s="1376">
        <v>0</v>
      </c>
      <c r="G41" s="1313">
        <f t="shared" si="1"/>
        <v>0</v>
      </c>
      <c r="H41" s="714">
        <f t="shared" si="5"/>
        <v>0</v>
      </c>
      <c r="I41" s="714">
        <f t="shared" si="5"/>
        <v>0</v>
      </c>
      <c r="J41" s="714">
        <f t="shared" si="5"/>
        <v>0</v>
      </c>
      <c r="K41" s="714">
        <f t="shared" si="5"/>
        <v>0</v>
      </c>
      <c r="L41" s="714">
        <f t="shared" si="5"/>
        <v>0</v>
      </c>
      <c r="M41" s="42"/>
      <c r="N41" s="541"/>
      <c r="Y41" s="8" cm="1">
        <f t="array" aca="1" ref="Y41" ca="1">CELL("protect",A41)</f>
        <v>1</v>
      </c>
      <c r="Z41" s="8" cm="1">
        <f t="array" aca="1" ref="Z41" ca="1">CELL("protect",B41)</f>
        <v>0</v>
      </c>
      <c r="AA41" s="8" cm="1">
        <f t="array" aca="1" ref="AA41" ca="1">CELL("protect",C41)</f>
        <v>0</v>
      </c>
      <c r="AB41" s="8" cm="1">
        <f t="array" aca="1" ref="AB41" ca="1">CELL("protect",D41)</f>
        <v>0</v>
      </c>
      <c r="AC41" s="8" cm="1">
        <f t="array" aca="1" ref="AC41" ca="1">CELL("protect",E41)</f>
        <v>1</v>
      </c>
      <c r="AD41" s="8" cm="1">
        <f t="array" aca="1" ref="AD41" ca="1">CELL("protect",F41)</f>
        <v>0</v>
      </c>
      <c r="AE41" s="8" cm="1">
        <f t="array" aca="1" ref="AE41" ca="1">CELL("protect",G41)</f>
        <v>0</v>
      </c>
      <c r="AF41" s="8" cm="1">
        <f t="array" aca="1" ref="AF41" ca="1">CELL("protect",H41)</f>
        <v>0</v>
      </c>
      <c r="AG41" s="8" cm="1">
        <f t="array" aca="1" ref="AG41" ca="1">CELL("protect",I41)</f>
        <v>0</v>
      </c>
      <c r="AH41" s="8" cm="1">
        <f t="array" aca="1" ref="AH41" ca="1">CELL("protect",J41)</f>
        <v>0</v>
      </c>
      <c r="AI41" s="8" cm="1">
        <f t="array" aca="1" ref="AI41" ca="1">CELL("protect",K41)</f>
        <v>0</v>
      </c>
      <c r="AJ41" s="8" cm="1">
        <f t="array" aca="1" ref="AJ41" ca="1">CELL("protect",L41)</f>
        <v>0</v>
      </c>
      <c r="AK41" s="8"/>
      <c r="AL41" s="8"/>
      <c r="AM41" s="8"/>
    </row>
    <row r="42" spans="1:39" s="46" customFormat="1">
      <c r="A42" s="213">
        <f>ROW()</f>
        <v>42</v>
      </c>
      <c r="B42" s="1816"/>
      <c r="C42" s="429"/>
      <c r="D42" s="429"/>
      <c r="E42" s="1309">
        <f t="shared" si="0"/>
        <v>0</v>
      </c>
      <c r="F42" s="1376">
        <v>0</v>
      </c>
      <c r="G42" s="1313">
        <f t="shared" si="1"/>
        <v>0</v>
      </c>
      <c r="H42" s="714">
        <f t="shared" si="5"/>
        <v>0</v>
      </c>
      <c r="I42" s="714">
        <f t="shared" si="5"/>
        <v>0</v>
      </c>
      <c r="J42" s="714">
        <f t="shared" si="5"/>
        <v>0</v>
      </c>
      <c r="K42" s="714">
        <f t="shared" si="5"/>
        <v>0</v>
      </c>
      <c r="L42" s="714">
        <f t="shared" si="5"/>
        <v>0</v>
      </c>
      <c r="M42" s="42"/>
      <c r="N42" s="541"/>
      <c r="Y42" s="8" cm="1">
        <f t="array" aca="1" ref="Y42" ca="1">CELL("protect",A42)</f>
        <v>1</v>
      </c>
      <c r="Z42" s="8" cm="1">
        <f t="array" aca="1" ref="Z42" ca="1">CELL("protect",B42)</f>
        <v>0</v>
      </c>
      <c r="AA42" s="8" cm="1">
        <f t="array" aca="1" ref="AA42" ca="1">CELL("protect",C42)</f>
        <v>0</v>
      </c>
      <c r="AB42" s="8" cm="1">
        <f t="array" aca="1" ref="AB42" ca="1">CELL("protect",D42)</f>
        <v>0</v>
      </c>
      <c r="AC42" s="8" cm="1">
        <f t="array" aca="1" ref="AC42" ca="1">CELL("protect",E42)</f>
        <v>1</v>
      </c>
      <c r="AD42" s="8" cm="1">
        <f t="array" aca="1" ref="AD42" ca="1">CELL("protect",F42)</f>
        <v>0</v>
      </c>
      <c r="AE42" s="8" cm="1">
        <f t="array" aca="1" ref="AE42" ca="1">CELL("protect",G42)</f>
        <v>0</v>
      </c>
      <c r="AF42" s="8" cm="1">
        <f t="array" aca="1" ref="AF42" ca="1">CELL("protect",H42)</f>
        <v>0</v>
      </c>
      <c r="AG42" s="8" cm="1">
        <f t="array" aca="1" ref="AG42" ca="1">CELL("protect",I42)</f>
        <v>0</v>
      </c>
      <c r="AH42" s="8" cm="1">
        <f t="array" aca="1" ref="AH42" ca="1">CELL("protect",J42)</f>
        <v>0</v>
      </c>
      <c r="AI42" s="8" cm="1">
        <f t="array" aca="1" ref="AI42" ca="1">CELL("protect",K42)</f>
        <v>0</v>
      </c>
      <c r="AJ42" s="8" cm="1">
        <f t="array" aca="1" ref="AJ42" ca="1">CELL("protect",L42)</f>
        <v>0</v>
      </c>
      <c r="AK42" s="8"/>
      <c r="AL42" s="8"/>
      <c r="AM42" s="8"/>
    </row>
    <row r="43" spans="1:39" s="46" customFormat="1">
      <c r="A43" s="213">
        <f>ROW()</f>
        <v>43</v>
      </c>
      <c r="B43" s="1816"/>
      <c r="C43" s="429"/>
      <c r="D43" s="429"/>
      <c r="E43" s="1309">
        <f t="shared" si="0"/>
        <v>0</v>
      </c>
      <c r="F43" s="1376">
        <v>0</v>
      </c>
      <c r="G43" s="1313">
        <f t="shared" si="1"/>
        <v>0</v>
      </c>
      <c r="H43" s="714">
        <f t="shared" si="5"/>
        <v>0</v>
      </c>
      <c r="I43" s="714">
        <f t="shared" si="5"/>
        <v>0</v>
      </c>
      <c r="J43" s="714">
        <f t="shared" si="5"/>
        <v>0</v>
      </c>
      <c r="K43" s="714">
        <f t="shared" si="5"/>
        <v>0</v>
      </c>
      <c r="L43" s="714">
        <f t="shared" si="5"/>
        <v>0</v>
      </c>
      <c r="M43" s="42"/>
      <c r="N43" s="541"/>
      <c r="Y43" s="8" cm="1">
        <f t="array" aca="1" ref="Y43" ca="1">CELL("protect",A43)</f>
        <v>1</v>
      </c>
      <c r="Z43" s="8" cm="1">
        <f t="array" aca="1" ref="Z43" ca="1">CELL("protect",B43)</f>
        <v>0</v>
      </c>
      <c r="AA43" s="8" cm="1">
        <f t="array" aca="1" ref="AA43" ca="1">CELL("protect",C43)</f>
        <v>0</v>
      </c>
      <c r="AB43" s="8" cm="1">
        <f t="array" aca="1" ref="AB43" ca="1">CELL("protect",D43)</f>
        <v>0</v>
      </c>
      <c r="AC43" s="8" cm="1">
        <f t="array" aca="1" ref="AC43" ca="1">CELL("protect",E43)</f>
        <v>1</v>
      </c>
      <c r="AD43" s="8" cm="1">
        <f t="array" aca="1" ref="AD43" ca="1">CELL("protect",F43)</f>
        <v>0</v>
      </c>
      <c r="AE43" s="8" cm="1">
        <f t="array" aca="1" ref="AE43" ca="1">CELL("protect",G43)</f>
        <v>0</v>
      </c>
      <c r="AF43" s="8" cm="1">
        <f t="array" aca="1" ref="AF43" ca="1">CELL("protect",H43)</f>
        <v>0</v>
      </c>
      <c r="AG43" s="8" cm="1">
        <f t="array" aca="1" ref="AG43" ca="1">CELL("protect",I43)</f>
        <v>0</v>
      </c>
      <c r="AH43" s="8" cm="1">
        <f t="array" aca="1" ref="AH43" ca="1">CELL("protect",J43)</f>
        <v>0</v>
      </c>
      <c r="AI43" s="8" cm="1">
        <f t="array" aca="1" ref="AI43" ca="1">CELL("protect",K43)</f>
        <v>0</v>
      </c>
      <c r="AJ43" s="8" cm="1">
        <f t="array" aca="1" ref="AJ43" ca="1">CELL("protect",L43)</f>
        <v>0</v>
      </c>
      <c r="AK43" s="8"/>
      <c r="AL43" s="8"/>
      <c r="AM43" s="8"/>
    </row>
    <row r="44" spans="1:39" s="46" customFormat="1">
      <c r="A44" s="213">
        <f>ROW()</f>
        <v>44</v>
      </c>
      <c r="B44" s="1816"/>
      <c r="C44" s="429"/>
      <c r="D44" s="429"/>
      <c r="E44" s="1309">
        <f t="shared" si="0"/>
        <v>0</v>
      </c>
      <c r="F44" s="1376">
        <v>0</v>
      </c>
      <c r="G44" s="1313">
        <f t="shared" si="1"/>
        <v>0</v>
      </c>
      <c r="H44" s="714">
        <f t="shared" si="5"/>
        <v>0</v>
      </c>
      <c r="I44" s="714">
        <f t="shared" si="5"/>
        <v>0</v>
      </c>
      <c r="J44" s="714">
        <f t="shared" si="5"/>
        <v>0</v>
      </c>
      <c r="K44" s="714">
        <f t="shared" si="5"/>
        <v>0</v>
      </c>
      <c r="L44" s="714">
        <f t="shared" si="5"/>
        <v>0</v>
      </c>
      <c r="M44" s="42"/>
      <c r="N44" s="541"/>
      <c r="Y44" s="8" cm="1">
        <f t="array" aca="1" ref="Y44" ca="1">CELL("protect",A44)</f>
        <v>1</v>
      </c>
      <c r="Z44" s="8" cm="1">
        <f t="array" aca="1" ref="Z44" ca="1">CELL("protect",B44)</f>
        <v>0</v>
      </c>
      <c r="AA44" s="8" cm="1">
        <f t="array" aca="1" ref="AA44" ca="1">CELL("protect",C44)</f>
        <v>0</v>
      </c>
      <c r="AB44" s="8" cm="1">
        <f t="array" aca="1" ref="AB44" ca="1">CELL("protect",D44)</f>
        <v>0</v>
      </c>
      <c r="AC44" s="8" cm="1">
        <f t="array" aca="1" ref="AC44" ca="1">CELL("protect",E44)</f>
        <v>1</v>
      </c>
      <c r="AD44" s="8" cm="1">
        <f t="array" aca="1" ref="AD44" ca="1">CELL("protect",F44)</f>
        <v>0</v>
      </c>
      <c r="AE44" s="8" cm="1">
        <f t="array" aca="1" ref="AE44" ca="1">CELL("protect",G44)</f>
        <v>0</v>
      </c>
      <c r="AF44" s="8" cm="1">
        <f t="array" aca="1" ref="AF44" ca="1">CELL("protect",H44)</f>
        <v>0</v>
      </c>
      <c r="AG44" s="8" cm="1">
        <f t="array" aca="1" ref="AG44" ca="1">CELL("protect",I44)</f>
        <v>0</v>
      </c>
      <c r="AH44" s="8" cm="1">
        <f t="array" aca="1" ref="AH44" ca="1">CELL("protect",J44)</f>
        <v>0</v>
      </c>
      <c r="AI44" s="8" cm="1">
        <f t="array" aca="1" ref="AI44" ca="1">CELL("protect",K44)</f>
        <v>0</v>
      </c>
      <c r="AJ44" s="8" cm="1">
        <f t="array" aca="1" ref="AJ44" ca="1">CELL("protect",L44)</f>
        <v>0</v>
      </c>
      <c r="AK44" s="8"/>
      <c r="AL44" s="8"/>
      <c r="AM44" s="8"/>
    </row>
    <row r="45" spans="1:39" s="46" customFormat="1">
      <c r="A45" s="213">
        <f>ROW()</f>
        <v>45</v>
      </c>
      <c r="B45" s="1816"/>
      <c r="C45" s="429"/>
      <c r="D45" s="429"/>
      <c r="E45" s="1309">
        <f t="shared" si="0"/>
        <v>0</v>
      </c>
      <c r="F45" s="1376">
        <v>0</v>
      </c>
      <c r="G45" s="1313">
        <f t="shared" si="1"/>
        <v>0</v>
      </c>
      <c r="H45" s="714">
        <f t="shared" si="5"/>
        <v>0</v>
      </c>
      <c r="I45" s="714">
        <f t="shared" si="5"/>
        <v>0</v>
      </c>
      <c r="J45" s="714">
        <f t="shared" si="5"/>
        <v>0</v>
      </c>
      <c r="K45" s="714">
        <f t="shared" si="5"/>
        <v>0</v>
      </c>
      <c r="L45" s="714">
        <f t="shared" si="5"/>
        <v>0</v>
      </c>
      <c r="M45" s="42"/>
      <c r="N45" s="541"/>
      <c r="Y45" s="8" cm="1">
        <f t="array" aca="1" ref="Y45" ca="1">CELL("protect",A45)</f>
        <v>1</v>
      </c>
      <c r="Z45" s="8" cm="1">
        <f t="array" aca="1" ref="Z45" ca="1">CELL("protect",B45)</f>
        <v>0</v>
      </c>
      <c r="AA45" s="8" cm="1">
        <f t="array" aca="1" ref="AA45" ca="1">CELL("protect",C45)</f>
        <v>0</v>
      </c>
      <c r="AB45" s="8" cm="1">
        <f t="array" aca="1" ref="AB45" ca="1">CELL("protect",D45)</f>
        <v>0</v>
      </c>
      <c r="AC45" s="8" cm="1">
        <f t="array" aca="1" ref="AC45" ca="1">CELL("protect",E45)</f>
        <v>1</v>
      </c>
      <c r="AD45" s="8" cm="1">
        <f t="array" aca="1" ref="AD45" ca="1">CELL("protect",F45)</f>
        <v>0</v>
      </c>
      <c r="AE45" s="8" cm="1">
        <f t="array" aca="1" ref="AE45" ca="1">CELL("protect",G45)</f>
        <v>0</v>
      </c>
      <c r="AF45" s="8" cm="1">
        <f t="array" aca="1" ref="AF45" ca="1">CELL("protect",H45)</f>
        <v>0</v>
      </c>
      <c r="AG45" s="8" cm="1">
        <f t="array" aca="1" ref="AG45" ca="1">CELL("protect",I45)</f>
        <v>0</v>
      </c>
      <c r="AH45" s="8" cm="1">
        <f t="array" aca="1" ref="AH45" ca="1">CELL("protect",J45)</f>
        <v>0</v>
      </c>
      <c r="AI45" s="8" cm="1">
        <f t="array" aca="1" ref="AI45" ca="1">CELL("protect",K45)</f>
        <v>0</v>
      </c>
      <c r="AJ45" s="8" cm="1">
        <f t="array" aca="1" ref="AJ45" ca="1">CELL("protect",L45)</f>
        <v>0</v>
      </c>
      <c r="AK45" s="8"/>
      <c r="AL45" s="8"/>
      <c r="AM45" s="8"/>
    </row>
    <row r="46" spans="1:39" s="46" customFormat="1">
      <c r="A46" s="213">
        <f>ROW()</f>
        <v>46</v>
      </c>
      <c r="B46" s="1816"/>
      <c r="C46" s="429"/>
      <c r="D46" s="429"/>
      <c r="E46" s="1309">
        <f t="shared" si="0"/>
        <v>0</v>
      </c>
      <c r="F46" s="1376">
        <v>0</v>
      </c>
      <c r="G46" s="1313">
        <f t="shared" si="1"/>
        <v>0</v>
      </c>
      <c r="H46" s="714">
        <f t="shared" si="5"/>
        <v>0</v>
      </c>
      <c r="I46" s="714">
        <f t="shared" si="5"/>
        <v>0</v>
      </c>
      <c r="J46" s="714">
        <f t="shared" si="5"/>
        <v>0</v>
      </c>
      <c r="K46" s="714">
        <f t="shared" si="5"/>
        <v>0</v>
      </c>
      <c r="L46" s="714">
        <f t="shared" si="5"/>
        <v>0</v>
      </c>
      <c r="M46" s="42"/>
      <c r="N46" s="541"/>
      <c r="Y46" s="8" cm="1">
        <f t="array" aca="1" ref="Y46" ca="1">CELL("protect",A46)</f>
        <v>1</v>
      </c>
      <c r="Z46" s="8" cm="1">
        <f t="array" aca="1" ref="Z46" ca="1">CELL("protect",B46)</f>
        <v>0</v>
      </c>
      <c r="AA46" s="8" cm="1">
        <f t="array" aca="1" ref="AA46" ca="1">CELL("protect",C46)</f>
        <v>0</v>
      </c>
      <c r="AB46" s="8" cm="1">
        <f t="array" aca="1" ref="AB46" ca="1">CELL("protect",D46)</f>
        <v>0</v>
      </c>
      <c r="AC46" s="8" cm="1">
        <f t="array" aca="1" ref="AC46" ca="1">CELL("protect",E46)</f>
        <v>1</v>
      </c>
      <c r="AD46" s="8" cm="1">
        <f t="array" aca="1" ref="AD46" ca="1">CELL("protect",F46)</f>
        <v>0</v>
      </c>
      <c r="AE46" s="8" cm="1">
        <f t="array" aca="1" ref="AE46" ca="1">CELL("protect",G46)</f>
        <v>0</v>
      </c>
      <c r="AF46" s="8" cm="1">
        <f t="array" aca="1" ref="AF46" ca="1">CELL("protect",H46)</f>
        <v>0</v>
      </c>
      <c r="AG46" s="8" cm="1">
        <f t="array" aca="1" ref="AG46" ca="1">CELL("protect",I46)</f>
        <v>0</v>
      </c>
      <c r="AH46" s="8" cm="1">
        <f t="array" aca="1" ref="AH46" ca="1">CELL("protect",J46)</f>
        <v>0</v>
      </c>
      <c r="AI46" s="8" cm="1">
        <f t="array" aca="1" ref="AI46" ca="1">CELL("protect",K46)</f>
        <v>0</v>
      </c>
      <c r="AJ46" s="8" cm="1">
        <f t="array" aca="1" ref="AJ46" ca="1">CELL("protect",L46)</f>
        <v>0</v>
      </c>
      <c r="AK46" s="8"/>
      <c r="AL46" s="8"/>
      <c r="AM46" s="8"/>
    </row>
    <row r="47" spans="1:39" s="46" customFormat="1">
      <c r="A47" s="213">
        <f>ROW()</f>
        <v>47</v>
      </c>
      <c r="B47" s="1817"/>
      <c r="C47" s="429">
        <v>0</v>
      </c>
      <c r="D47" s="429">
        <v>0</v>
      </c>
      <c r="E47" s="184">
        <f t="shared" si="0"/>
        <v>0</v>
      </c>
      <c r="F47" s="1380">
        <v>0</v>
      </c>
      <c r="G47" s="1315">
        <f t="shared" ref="G47:L47" si="6">+$D47</f>
        <v>0</v>
      </c>
      <c r="H47" s="715">
        <f t="shared" si="6"/>
        <v>0</v>
      </c>
      <c r="I47" s="715">
        <f t="shared" si="6"/>
        <v>0</v>
      </c>
      <c r="J47" s="715">
        <f t="shared" si="6"/>
        <v>0</v>
      </c>
      <c r="K47" s="715">
        <f t="shared" si="6"/>
        <v>0</v>
      </c>
      <c r="L47" s="715">
        <f t="shared" si="6"/>
        <v>0</v>
      </c>
      <c r="M47" s="42"/>
      <c r="N47" s="541"/>
      <c r="Y47" s="8" cm="1">
        <f t="array" aca="1" ref="Y47" ca="1">CELL("protect",A47)</f>
        <v>1</v>
      </c>
      <c r="Z47" s="8" cm="1">
        <f t="array" aca="1" ref="Z47" ca="1">CELL("protect",B47)</f>
        <v>0</v>
      </c>
      <c r="AA47" s="8" cm="1">
        <f t="array" aca="1" ref="AA47" ca="1">CELL("protect",C47)</f>
        <v>0</v>
      </c>
      <c r="AB47" s="8" cm="1">
        <f t="array" aca="1" ref="AB47" ca="1">CELL("protect",D47)</f>
        <v>0</v>
      </c>
      <c r="AC47" s="8" cm="1">
        <f t="array" aca="1" ref="AC47" ca="1">CELL("protect",E47)</f>
        <v>1</v>
      </c>
      <c r="AD47" s="8" cm="1">
        <f t="array" aca="1" ref="AD47" ca="1">CELL("protect",F47)</f>
        <v>0</v>
      </c>
      <c r="AE47" s="8" cm="1">
        <f t="array" aca="1" ref="AE47" ca="1">CELL("protect",G47)</f>
        <v>0</v>
      </c>
      <c r="AF47" s="8" cm="1">
        <f t="array" aca="1" ref="AF47" ca="1">CELL("protect",H47)</f>
        <v>0</v>
      </c>
      <c r="AG47" s="8" cm="1">
        <f t="array" aca="1" ref="AG47" ca="1">CELL("protect",I47)</f>
        <v>0</v>
      </c>
      <c r="AH47" s="8" cm="1">
        <f t="array" aca="1" ref="AH47" ca="1">CELL("protect",J47)</f>
        <v>0</v>
      </c>
      <c r="AI47" s="8" cm="1">
        <f t="array" aca="1" ref="AI47" ca="1">CELL("protect",K47)</f>
        <v>0</v>
      </c>
      <c r="AJ47" s="8" cm="1">
        <f t="array" aca="1" ref="AJ47" ca="1">CELL("protect",L47)</f>
        <v>0</v>
      </c>
      <c r="AK47" s="8"/>
      <c r="AL47" s="8"/>
      <c r="AM47" s="8"/>
    </row>
    <row r="48" spans="1:39" s="46" customFormat="1">
      <c r="A48" s="213">
        <f>ROW()</f>
        <v>48</v>
      </c>
      <c r="B48" s="558" t="s">
        <v>820</v>
      </c>
      <c r="C48" s="559"/>
      <c r="D48" s="559"/>
      <c r="E48" s="560"/>
      <c r="F48" s="1316">
        <f t="shared" ref="F48:L48" si="7">SUM(F9:F47)</f>
        <v>0</v>
      </c>
      <c r="G48" s="1316">
        <f t="shared" si="7"/>
        <v>23176</v>
      </c>
      <c r="H48" s="561">
        <f t="shared" si="7"/>
        <v>23176</v>
      </c>
      <c r="I48" s="561">
        <f t="shared" si="7"/>
        <v>23176</v>
      </c>
      <c r="J48" s="561">
        <f t="shared" si="7"/>
        <v>23176</v>
      </c>
      <c r="K48" s="561">
        <f t="shared" si="7"/>
        <v>23176</v>
      </c>
      <c r="L48" s="561">
        <f t="shared" si="7"/>
        <v>23176</v>
      </c>
      <c r="M48" s="42"/>
      <c r="N48" s="541"/>
      <c r="Y48" s="8" cm="1">
        <f t="array" aca="1" ref="Y48" ca="1">CELL("protect",A48)</f>
        <v>1</v>
      </c>
      <c r="Z48" s="8" cm="1">
        <f t="array" aca="1" ref="Z48" ca="1">CELL("protect",B48)</f>
        <v>0</v>
      </c>
      <c r="AA48" s="8" cm="1">
        <f t="array" aca="1" ref="AA48" ca="1">CELL("protect",C48)</f>
        <v>0</v>
      </c>
      <c r="AB48" s="8" cm="1">
        <f t="array" aca="1" ref="AB48" ca="1">CELL("protect",D48)</f>
        <v>0</v>
      </c>
      <c r="AC48" s="8" cm="1">
        <f t="array" aca="1" ref="AC48" ca="1">CELL("protect",E48)</f>
        <v>1</v>
      </c>
      <c r="AD48" s="8" cm="1">
        <f t="array" aca="1" ref="AD48" ca="1">CELL("protect",F48)</f>
        <v>1</v>
      </c>
      <c r="AE48" s="8" cm="1">
        <f t="array" aca="1" ref="AE48" ca="1">CELL("protect",G48)</f>
        <v>1</v>
      </c>
      <c r="AF48" s="8" cm="1">
        <f t="array" aca="1" ref="AF48" ca="1">CELL("protect",H48)</f>
        <v>1</v>
      </c>
      <c r="AG48" s="8" cm="1">
        <f t="array" aca="1" ref="AG48" ca="1">CELL("protect",I48)</f>
        <v>1</v>
      </c>
      <c r="AH48" s="8" cm="1">
        <f t="array" aca="1" ref="AH48" ca="1">CELL("protect",J48)</f>
        <v>1</v>
      </c>
      <c r="AI48" s="8" cm="1">
        <f t="array" aca="1" ref="AI48" ca="1">CELL("protect",K48)</f>
        <v>1</v>
      </c>
      <c r="AJ48" s="8" cm="1">
        <f t="array" aca="1" ref="AJ48" ca="1">CELL("protect",L48)</f>
        <v>1</v>
      </c>
      <c r="AK48" s="8"/>
      <c r="AL48" s="8"/>
      <c r="AM48" s="8"/>
    </row>
    <row r="49" spans="1:39" s="46" customFormat="1">
      <c r="A49" s="213">
        <f>ROW()</f>
        <v>49</v>
      </c>
      <c r="B49" s="555" t="s">
        <v>821</v>
      </c>
      <c r="C49" s="554"/>
      <c r="D49" s="1346">
        <v>0.02</v>
      </c>
      <c r="E49" s="1347"/>
      <c r="F49" s="556">
        <f t="shared" ref="F49:L49" si="8">+F48*((1+$D$49)^F7-1)</f>
        <v>0</v>
      </c>
      <c r="G49" s="556">
        <f t="shared" si="8"/>
        <v>463.52000000000044</v>
      </c>
      <c r="H49" s="557">
        <f t="shared" si="8"/>
        <v>936.31039999999985</v>
      </c>
      <c r="I49" s="557">
        <f t="shared" si="8"/>
        <v>1418.5566079999983</v>
      </c>
      <c r="J49" s="557">
        <f t="shared" si="8"/>
        <v>1910.4477401599995</v>
      </c>
      <c r="K49" s="557">
        <f t="shared" si="8"/>
        <v>2412.1766949632006</v>
      </c>
      <c r="L49" s="557">
        <f t="shared" si="8"/>
        <v>2923.9402288624656</v>
      </c>
      <c r="M49" s="42"/>
      <c r="N49" s="541"/>
      <c r="Y49" s="8" cm="1">
        <f t="array" aca="1" ref="Y49" ca="1">CELL("protect",A49)</f>
        <v>1</v>
      </c>
      <c r="Z49" s="8" cm="1">
        <f t="array" aca="1" ref="Z49" ca="1">CELL("protect",B49)</f>
        <v>0</v>
      </c>
      <c r="AA49" s="8" cm="1">
        <f t="array" aca="1" ref="AA49" ca="1">CELL("protect",C49)</f>
        <v>0</v>
      </c>
      <c r="AB49" s="8" cm="1">
        <f t="array" aca="1" ref="AB49" ca="1">CELL("protect",D49)</f>
        <v>0</v>
      </c>
      <c r="AC49" s="8" cm="1">
        <f t="array" aca="1" ref="AC49" ca="1">CELL("protect",E49)</f>
        <v>1</v>
      </c>
      <c r="AD49" s="8" cm="1">
        <f t="array" aca="1" ref="AD49" ca="1">CELL("protect",F49)</f>
        <v>1</v>
      </c>
      <c r="AE49" s="8" cm="1">
        <f t="array" aca="1" ref="AE49" ca="1">CELL("protect",G49)</f>
        <v>1</v>
      </c>
      <c r="AF49" s="8" cm="1">
        <f t="array" aca="1" ref="AF49" ca="1">CELL("protect",H49)</f>
        <v>1</v>
      </c>
      <c r="AG49" s="8" cm="1">
        <f t="array" aca="1" ref="AG49" ca="1">CELL("protect",I49)</f>
        <v>1</v>
      </c>
      <c r="AH49" s="8" cm="1">
        <f t="array" aca="1" ref="AH49" ca="1">CELL("protect",J49)</f>
        <v>1</v>
      </c>
      <c r="AI49" s="8" cm="1">
        <f t="array" aca="1" ref="AI49" ca="1">CELL("protect",K49)</f>
        <v>1</v>
      </c>
      <c r="AJ49" s="8" cm="1">
        <f t="array" aca="1" ref="AJ49" ca="1">CELL("protect",L49)</f>
        <v>1</v>
      </c>
      <c r="AK49" s="8"/>
      <c r="AL49" s="8"/>
      <c r="AM49" s="8"/>
    </row>
    <row r="50" spans="1:39" ht="15.75">
      <c r="A50" s="213"/>
      <c r="D50" s="1846">
        <f>SUM(D9:D47)</f>
        <v>23176</v>
      </c>
      <c r="E50" s="398">
        <f>SUM(E9:E47)</f>
        <v>139056</v>
      </c>
      <c r="F50" s="398">
        <f>SUM(F9:F47)</f>
        <v>0</v>
      </c>
      <c r="G50" s="398">
        <f t="shared" ref="G50:L50" si="9">SUM(G9:G47)+G49</f>
        <v>23639.52</v>
      </c>
      <c r="H50" s="398">
        <f t="shared" si="9"/>
        <v>24112.310399999998</v>
      </c>
      <c r="I50" s="398">
        <f t="shared" si="9"/>
        <v>24594.556607999999</v>
      </c>
      <c r="J50" s="398">
        <f t="shared" si="9"/>
        <v>25086.447740159998</v>
      </c>
      <c r="K50" s="398">
        <f t="shared" si="9"/>
        <v>25588.1766949632</v>
      </c>
      <c r="L50" s="398">
        <f t="shared" si="9"/>
        <v>26099.940228862466</v>
      </c>
      <c r="N50" s="541"/>
      <c r="Y50" s="8" cm="1">
        <f t="array" aca="1" ref="Y50" ca="1">CELL("protect",A50)</f>
        <v>1</v>
      </c>
      <c r="Z50" s="8" cm="1">
        <f t="array" aca="1" ref="Z50" ca="1">CELL("protect",B50)</f>
        <v>1</v>
      </c>
      <c r="AA50" s="8" cm="1">
        <f t="array" aca="1" ref="AA50" ca="1">CELL("protect",C50)</f>
        <v>1</v>
      </c>
      <c r="AB50" s="8" cm="1">
        <f t="array" aca="1" ref="AB50" ca="1">CELL("protect",D50)</f>
        <v>1</v>
      </c>
      <c r="AC50" s="8" cm="1">
        <f t="array" aca="1" ref="AC50" ca="1">CELL("protect",E50)</f>
        <v>1</v>
      </c>
      <c r="AD50" s="8" cm="1">
        <f t="array" aca="1" ref="AD50" ca="1">CELL("protect",F50)</f>
        <v>1</v>
      </c>
      <c r="AE50" s="8" cm="1">
        <f t="array" aca="1" ref="AE50" ca="1">CELL("protect",G50)</f>
        <v>1</v>
      </c>
      <c r="AF50" s="8" cm="1">
        <f t="array" aca="1" ref="AF50" ca="1">CELL("protect",H50)</f>
        <v>1</v>
      </c>
      <c r="AG50" s="8" cm="1">
        <f t="array" aca="1" ref="AG50" ca="1">CELL("protect",I50)</f>
        <v>1</v>
      </c>
      <c r="AH50" s="8" cm="1">
        <f t="array" aca="1" ref="AH50" ca="1">CELL("protect",J50)</f>
        <v>1</v>
      </c>
      <c r="AI50" s="8" cm="1">
        <f t="array" aca="1" ref="AI50" ca="1">CELL("protect",K50)</f>
        <v>1</v>
      </c>
      <c r="AJ50" s="8" cm="1">
        <f t="array" aca="1" ref="AJ50" ca="1">CELL("protect",L50)</f>
        <v>1</v>
      </c>
      <c r="AK50" s="8"/>
      <c r="AL50" s="8"/>
      <c r="AM50" s="8"/>
    </row>
    <row r="51" spans="1:39">
      <c r="A51" s="213">
        <f t="shared" ref="A51:A72" si="10">ROW()-9</f>
        <v>42</v>
      </c>
      <c r="B51" s="305" t="s">
        <v>822</v>
      </c>
      <c r="Y51" s="8" cm="1">
        <f t="array" aca="1" ref="Y51" ca="1">CELL("protect",A51)</f>
        <v>1</v>
      </c>
      <c r="Z51" s="8" cm="1">
        <f t="array" aca="1" ref="Z51" ca="1">CELL("protect",B51)</f>
        <v>1</v>
      </c>
      <c r="AA51" s="8" cm="1">
        <f t="array" aca="1" ref="AA51" ca="1">CELL("protect",C51)</f>
        <v>1</v>
      </c>
      <c r="AB51" s="8" cm="1">
        <f t="array" aca="1" ref="AB51" ca="1">CELL("protect",D51)</f>
        <v>1</v>
      </c>
      <c r="AC51" s="8" cm="1">
        <f t="array" aca="1" ref="AC51" ca="1">CELL("protect",E51)</f>
        <v>1</v>
      </c>
      <c r="AD51" s="8" cm="1">
        <f t="array" aca="1" ref="AD51" ca="1">CELL("protect",F51)</f>
        <v>1</v>
      </c>
      <c r="AE51" s="8" cm="1">
        <f t="array" aca="1" ref="AE51" ca="1">CELL("protect",G51)</f>
        <v>1</v>
      </c>
      <c r="AF51" s="8" cm="1">
        <f t="array" aca="1" ref="AF51" ca="1">CELL("protect",H51)</f>
        <v>1</v>
      </c>
      <c r="AG51" s="8" cm="1">
        <f t="array" aca="1" ref="AG51" ca="1">CELL("protect",I51)</f>
        <v>1</v>
      </c>
      <c r="AH51" s="8" cm="1">
        <f t="array" aca="1" ref="AH51" ca="1">CELL("protect",J51)</f>
        <v>1</v>
      </c>
      <c r="AI51" s="8" cm="1">
        <f t="array" aca="1" ref="AI51" ca="1">CELL("protect",K51)</f>
        <v>1</v>
      </c>
      <c r="AJ51" s="8" cm="1">
        <f t="array" aca="1" ref="AJ51" ca="1">CELL("protect",L51)</f>
        <v>1</v>
      </c>
      <c r="AK51" s="8"/>
      <c r="AL51" s="8"/>
      <c r="AM51" s="8"/>
    </row>
    <row r="52" spans="1:39">
      <c r="A52" s="213">
        <f t="shared" si="10"/>
        <v>43</v>
      </c>
      <c r="B52" s="305" t="s">
        <v>823</v>
      </c>
      <c r="Y52" s="8" cm="1">
        <f t="array" aca="1" ref="Y52" ca="1">CELL("protect",A52)</f>
        <v>1</v>
      </c>
      <c r="Z52" s="8" cm="1">
        <f t="array" aca="1" ref="Z52" ca="1">CELL("protect",B52)</f>
        <v>1</v>
      </c>
      <c r="AA52" s="8" cm="1">
        <f t="array" aca="1" ref="AA52" ca="1">CELL("protect",C52)</f>
        <v>1</v>
      </c>
      <c r="AB52" s="8" cm="1">
        <f t="array" aca="1" ref="AB52" ca="1">CELL("protect",D52)</f>
        <v>1</v>
      </c>
      <c r="AC52" s="8" cm="1">
        <f t="array" aca="1" ref="AC52" ca="1">CELL("protect",E52)</f>
        <v>1</v>
      </c>
      <c r="AD52" s="8" cm="1">
        <f t="array" aca="1" ref="AD52" ca="1">CELL("protect",F52)</f>
        <v>1</v>
      </c>
      <c r="AE52" s="8" cm="1">
        <f t="array" aca="1" ref="AE52" ca="1">CELL("protect",G52)</f>
        <v>1</v>
      </c>
      <c r="AF52" s="8" cm="1">
        <f t="array" aca="1" ref="AF52" ca="1">CELL("protect",H52)</f>
        <v>1</v>
      </c>
      <c r="AG52" s="8" cm="1">
        <f t="array" aca="1" ref="AG52" ca="1">CELL("protect",I52)</f>
        <v>1</v>
      </c>
      <c r="AH52" s="8" cm="1">
        <f t="array" aca="1" ref="AH52" ca="1">CELL("protect",J52)</f>
        <v>1</v>
      </c>
      <c r="AI52" s="8" cm="1">
        <f t="array" aca="1" ref="AI52" ca="1">CELL("protect",K52)</f>
        <v>1</v>
      </c>
      <c r="AJ52" s="8" cm="1">
        <f t="array" aca="1" ref="AJ52" ca="1">CELL("protect",L52)</f>
        <v>1</v>
      </c>
      <c r="AK52" s="8"/>
      <c r="AL52" s="8"/>
      <c r="AM52" s="8"/>
    </row>
    <row r="53" spans="1:39">
      <c r="A53" s="213">
        <f t="shared" si="10"/>
        <v>44</v>
      </c>
      <c r="B53" s="305" t="s">
        <v>824</v>
      </c>
      <c r="G53" s="553"/>
      <c r="H53" s="553"/>
      <c r="I53" s="553"/>
      <c r="J53" s="553"/>
      <c r="K53" s="553"/>
      <c r="L53" s="553"/>
      <c r="Y53" s="8" cm="1">
        <f t="array" aca="1" ref="Y53" ca="1">CELL("protect",A53)</f>
        <v>1</v>
      </c>
      <c r="Z53" s="8" cm="1">
        <f t="array" aca="1" ref="Z53" ca="1">CELL("protect",B53)</f>
        <v>1</v>
      </c>
      <c r="AA53" s="8" cm="1">
        <f t="array" aca="1" ref="AA53" ca="1">CELL("protect",C53)</f>
        <v>1</v>
      </c>
      <c r="AB53" s="8" cm="1">
        <f t="array" aca="1" ref="AB53" ca="1">CELL("protect",D53)</f>
        <v>1</v>
      </c>
      <c r="AC53" s="8" cm="1">
        <f t="array" aca="1" ref="AC53" ca="1">CELL("protect",E53)</f>
        <v>1</v>
      </c>
      <c r="AD53" s="8" cm="1">
        <f t="array" aca="1" ref="AD53" ca="1">CELL("protect",F53)</f>
        <v>1</v>
      </c>
      <c r="AE53" s="8" cm="1">
        <f t="array" aca="1" ref="AE53" ca="1">CELL("protect",G53)</f>
        <v>1</v>
      </c>
      <c r="AF53" s="8" cm="1">
        <f t="array" aca="1" ref="AF53" ca="1">CELL("protect",H53)</f>
        <v>1</v>
      </c>
      <c r="AG53" s="8" cm="1">
        <f t="array" aca="1" ref="AG53" ca="1">CELL("protect",I53)</f>
        <v>1</v>
      </c>
      <c r="AH53" s="8" cm="1">
        <f t="array" aca="1" ref="AH53" ca="1">CELL("protect",J53)</f>
        <v>1</v>
      </c>
      <c r="AI53" s="8" cm="1">
        <f t="array" aca="1" ref="AI53" ca="1">CELL("protect",K53)</f>
        <v>1</v>
      </c>
      <c r="AJ53" s="8" cm="1">
        <f t="array" aca="1" ref="AJ53" ca="1">CELL("protect",L53)</f>
        <v>1</v>
      </c>
      <c r="AK53" s="8"/>
      <c r="AL53" s="8"/>
      <c r="AM53" s="8"/>
    </row>
    <row r="54" spans="1:39">
      <c r="A54" s="213">
        <f t="shared" si="10"/>
        <v>45</v>
      </c>
      <c r="Y54" s="8" cm="1">
        <f t="array" aca="1" ref="Y54" ca="1">CELL("protect",A54)</f>
        <v>1</v>
      </c>
      <c r="Z54" s="8" cm="1">
        <f t="array" aca="1" ref="Z54" ca="1">CELL("protect",B54)</f>
        <v>1</v>
      </c>
      <c r="AA54" s="8" cm="1">
        <f t="array" aca="1" ref="AA54" ca="1">CELL("protect",C54)</f>
        <v>1</v>
      </c>
      <c r="AB54" s="8" cm="1">
        <f t="array" aca="1" ref="AB54" ca="1">CELL("protect",D54)</f>
        <v>1</v>
      </c>
      <c r="AC54" s="8" cm="1">
        <f t="array" aca="1" ref="AC54" ca="1">CELL("protect",E54)</f>
        <v>1</v>
      </c>
      <c r="AD54" s="8" cm="1">
        <f t="array" aca="1" ref="AD54" ca="1">CELL("protect",F54)</f>
        <v>1</v>
      </c>
      <c r="AE54" s="8" cm="1">
        <f t="array" aca="1" ref="AE54" ca="1">CELL("protect",G54)</f>
        <v>1</v>
      </c>
      <c r="AF54" s="8" cm="1">
        <f t="array" aca="1" ref="AF54" ca="1">CELL("protect",H54)</f>
        <v>1</v>
      </c>
      <c r="AG54" s="8" cm="1">
        <f t="array" aca="1" ref="AG54" ca="1">CELL("protect",I54)</f>
        <v>1</v>
      </c>
      <c r="AH54" s="8" cm="1">
        <f t="array" aca="1" ref="AH54" ca="1">CELL("protect",J54)</f>
        <v>1</v>
      </c>
      <c r="AI54" s="8" cm="1">
        <f t="array" aca="1" ref="AI54" ca="1">CELL("protect",K54)</f>
        <v>1</v>
      </c>
      <c r="AJ54" s="8" cm="1">
        <f t="array" aca="1" ref="AJ54" ca="1">CELL("protect",L54)</f>
        <v>1</v>
      </c>
      <c r="AK54" s="8"/>
      <c r="AL54" s="8"/>
      <c r="AM54" s="8"/>
    </row>
    <row r="55" spans="1:39">
      <c r="A55" s="213">
        <f t="shared" si="10"/>
        <v>46</v>
      </c>
    </row>
    <row r="56" spans="1:39">
      <c r="A56" s="213">
        <f t="shared" si="10"/>
        <v>47</v>
      </c>
    </row>
    <row r="57" spans="1:39">
      <c r="A57" s="213">
        <f t="shared" si="10"/>
        <v>48</v>
      </c>
    </row>
    <row r="58" spans="1:39">
      <c r="A58" s="213">
        <f t="shared" si="10"/>
        <v>49</v>
      </c>
    </row>
    <row r="59" spans="1:39">
      <c r="A59" s="213">
        <f t="shared" si="10"/>
        <v>50</v>
      </c>
    </row>
    <row r="60" spans="1:39">
      <c r="A60" s="213">
        <f t="shared" si="10"/>
        <v>51</v>
      </c>
    </row>
    <row r="61" spans="1:39">
      <c r="A61" s="213">
        <f t="shared" si="10"/>
        <v>52</v>
      </c>
    </row>
    <row r="62" spans="1:39">
      <c r="A62" s="213">
        <f t="shared" si="10"/>
        <v>53</v>
      </c>
    </row>
    <row r="63" spans="1:39">
      <c r="A63" s="213">
        <f t="shared" si="10"/>
        <v>54</v>
      </c>
    </row>
    <row r="64" spans="1:39">
      <c r="A64" s="213">
        <f t="shared" si="10"/>
        <v>55</v>
      </c>
    </row>
    <row r="65" spans="1:1">
      <c r="A65" s="213">
        <f t="shared" si="10"/>
        <v>56</v>
      </c>
    </row>
    <row r="66" spans="1:1">
      <c r="A66" s="213">
        <f t="shared" si="10"/>
        <v>57</v>
      </c>
    </row>
    <row r="67" spans="1:1">
      <c r="A67" s="213">
        <f t="shared" si="10"/>
        <v>58</v>
      </c>
    </row>
    <row r="68" spans="1:1">
      <c r="A68" s="213">
        <f t="shared" si="10"/>
        <v>59</v>
      </c>
    </row>
    <row r="69" spans="1:1">
      <c r="A69" s="213">
        <f t="shared" si="10"/>
        <v>60</v>
      </c>
    </row>
    <row r="70" spans="1:1">
      <c r="A70" s="213">
        <f t="shared" si="10"/>
        <v>61</v>
      </c>
    </row>
    <row r="71" spans="1:1">
      <c r="A71" s="213">
        <f t="shared" si="10"/>
        <v>62</v>
      </c>
    </row>
    <row r="72" spans="1:1">
      <c r="A72" s="213">
        <f t="shared" si="10"/>
        <v>63</v>
      </c>
    </row>
    <row r="73" spans="1:1">
      <c r="A73" s="213">
        <f t="shared" ref="A73:A99" si="11">ROW()-9</f>
        <v>64</v>
      </c>
    </row>
    <row r="74" spans="1:1">
      <c r="A74" s="213">
        <f t="shared" si="11"/>
        <v>65</v>
      </c>
    </row>
    <row r="75" spans="1:1">
      <c r="A75" s="213">
        <f t="shared" si="11"/>
        <v>66</v>
      </c>
    </row>
    <row r="76" spans="1:1">
      <c r="A76" s="213">
        <f t="shared" si="11"/>
        <v>67</v>
      </c>
    </row>
    <row r="77" spans="1:1">
      <c r="A77" s="213">
        <f t="shared" si="11"/>
        <v>68</v>
      </c>
    </row>
    <row r="78" spans="1:1">
      <c r="A78" s="213">
        <f t="shared" si="11"/>
        <v>69</v>
      </c>
    </row>
    <row r="79" spans="1:1">
      <c r="A79" s="213">
        <f t="shared" si="11"/>
        <v>70</v>
      </c>
    </row>
    <row r="80" spans="1:1">
      <c r="A80" s="213">
        <f t="shared" si="11"/>
        <v>71</v>
      </c>
    </row>
    <row r="81" spans="1:1">
      <c r="A81" s="213">
        <f t="shared" si="11"/>
        <v>72</v>
      </c>
    </row>
    <row r="82" spans="1:1">
      <c r="A82" s="213">
        <f t="shared" si="11"/>
        <v>73</v>
      </c>
    </row>
    <row r="83" spans="1:1">
      <c r="A83" s="213">
        <f t="shared" si="11"/>
        <v>74</v>
      </c>
    </row>
    <row r="84" spans="1:1">
      <c r="A84" s="213">
        <f t="shared" si="11"/>
        <v>75</v>
      </c>
    </row>
    <row r="85" spans="1:1">
      <c r="A85" s="213">
        <f t="shared" si="11"/>
        <v>76</v>
      </c>
    </row>
    <row r="86" spans="1:1">
      <c r="A86" s="213">
        <f t="shared" si="11"/>
        <v>77</v>
      </c>
    </row>
    <row r="87" spans="1:1">
      <c r="A87" s="213">
        <f t="shared" si="11"/>
        <v>78</v>
      </c>
    </row>
    <row r="88" spans="1:1">
      <c r="A88" s="213">
        <f t="shared" si="11"/>
        <v>79</v>
      </c>
    </row>
    <row r="89" spans="1:1">
      <c r="A89" s="213">
        <f t="shared" si="11"/>
        <v>80</v>
      </c>
    </row>
    <row r="90" spans="1:1">
      <c r="A90" s="213">
        <f t="shared" si="11"/>
        <v>81</v>
      </c>
    </row>
    <row r="91" spans="1:1">
      <c r="A91" s="213">
        <f t="shared" si="11"/>
        <v>82</v>
      </c>
    </row>
    <row r="92" spans="1:1">
      <c r="A92" s="213">
        <f t="shared" si="11"/>
        <v>83</v>
      </c>
    </row>
    <row r="93" spans="1:1">
      <c r="A93" s="213">
        <f t="shared" si="11"/>
        <v>84</v>
      </c>
    </row>
    <row r="94" spans="1:1">
      <c r="A94" s="213">
        <f t="shared" si="11"/>
        <v>85</v>
      </c>
    </row>
    <row r="95" spans="1:1">
      <c r="A95" s="213">
        <f t="shared" si="11"/>
        <v>86</v>
      </c>
    </row>
    <row r="96" spans="1:1">
      <c r="A96" s="213">
        <f t="shared" si="11"/>
        <v>87</v>
      </c>
    </row>
    <row r="97" spans="1:1">
      <c r="A97" s="213">
        <f t="shared" si="11"/>
        <v>88</v>
      </c>
    </row>
    <row r="98" spans="1:1">
      <c r="A98" s="213">
        <f t="shared" si="11"/>
        <v>89</v>
      </c>
    </row>
    <row r="99" spans="1:1">
      <c r="A99" s="213">
        <f t="shared" si="11"/>
        <v>90</v>
      </c>
    </row>
  </sheetData>
  <sheetProtection algorithmName="SHA-512" hashValue="iqTkVLoISwtrbcgWMmw3/sUk+FcPx/LrhXI1hRbOYAXVvtQR4/MfLpMU5g/Fn7M5JRM6BqEqApzDM4UpfcrERQ==" saltValue="uJ4HpWDHFoOzCr0tN5ePew==" spinCount="100000" sheet="1" objects="1" scenarios="1"/>
  <conditionalFormatting sqref="C1">
    <cfRule type="expression" dxfId="24" priority="4" stopIfTrue="1">
      <formula>MOD(ROW(),2)=0</formula>
    </cfRule>
  </conditionalFormatting>
  <conditionalFormatting sqref="Y1:AM54">
    <cfRule type="cellIs" dxfId="23" priority="3" stopIfTrue="1" operator="equal">
      <formula>0</formula>
    </cfRule>
  </conditionalFormatting>
  <hyperlinks>
    <hyperlink ref="C1" location="HypLink1" display="HypLink1"/>
  </hyperlinks>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AD47"/>
  <sheetViews>
    <sheetView topLeftCell="A19" workbookViewId="0">
      <selection activeCell="H37" sqref="H37"/>
    </sheetView>
  </sheetViews>
  <sheetFormatPr defaultColWidth="8.85546875" defaultRowHeight="15"/>
  <cols>
    <col min="1" max="1" width="6.7109375" style="80" bestFit="1" customWidth="1"/>
    <col min="2" max="2" width="29.28515625" style="80" customWidth="1"/>
    <col min="3" max="3" width="12.5703125" style="80" customWidth="1"/>
    <col min="4" max="4" width="9.42578125" style="84" customWidth="1"/>
    <col min="5" max="5" width="7.28515625" style="84" customWidth="1"/>
    <col min="6" max="6" width="10.42578125" style="84" customWidth="1"/>
    <col min="7" max="7" width="11" style="84" customWidth="1"/>
    <col min="8" max="14" width="14.7109375" style="80" customWidth="1"/>
    <col min="15" max="15" width="3.42578125" style="80" customWidth="1"/>
    <col min="16" max="16" width="76.5703125" style="80" customWidth="1"/>
    <col min="17" max="18" width="10.5703125" style="80" bestFit="1" customWidth="1"/>
    <col min="19" max="19" width="20.140625" style="80" customWidth="1"/>
    <col min="20" max="16384" width="8.85546875" style="80"/>
  </cols>
  <sheetData>
    <row r="1" spans="1:30" ht="43.9" customHeight="1">
      <c r="A1" s="1896" t="s">
        <v>825</v>
      </c>
      <c r="B1" s="1897"/>
      <c r="E1" s="102"/>
      <c r="F1" s="432"/>
      <c r="G1" s="640" t="s">
        <v>2</v>
      </c>
    </row>
    <row r="2" spans="1:30" ht="15.75">
      <c r="A2" s="1895" t="str">
        <f>SchoolName</f>
        <v>Strong Start Academy Elementary School</v>
      </c>
      <c r="B2" s="1895"/>
      <c r="E2" s="191"/>
      <c r="F2" s="77"/>
    </row>
    <row r="3" spans="1:30">
      <c r="A3" s="83" t="s">
        <v>62</v>
      </c>
    </row>
    <row r="4" spans="1:30">
      <c r="A4" s="85" t="s">
        <v>63</v>
      </c>
    </row>
    <row r="5" spans="1:30">
      <c r="A5" s="76" t="str">
        <f ca="1">CELL("filename")</f>
        <v>C:\Users\rsaucedo\OneDrive - City of Las Vegas\CLV Charter School\[Strong Start Academy Elementary School Financial Workbook 2021.xlsx]Incubation</v>
      </c>
    </row>
    <row r="7" spans="1:30">
      <c r="A7" s="101"/>
      <c r="B7" s="86"/>
    </row>
    <row r="8" spans="1:30">
      <c r="A8" s="101"/>
      <c r="B8" s="86"/>
    </row>
    <row r="9" spans="1:30">
      <c r="A9" s="101"/>
      <c r="B9" s="86"/>
    </row>
    <row r="10" spans="1:30">
      <c r="A10" s="101"/>
      <c r="H10" s="1350"/>
      <c r="I10" s="1350" t="s">
        <v>826</v>
      </c>
      <c r="J10" s="1351"/>
      <c r="K10" s="1351"/>
      <c r="L10" s="1351"/>
      <c r="M10" s="1351"/>
      <c r="N10" s="1352"/>
      <c r="P10" s="1813" t="s">
        <v>84</v>
      </c>
    </row>
    <row r="11" spans="1:30">
      <c r="A11" s="101"/>
      <c r="H11" s="1353" t="s">
        <v>827</v>
      </c>
      <c r="I11" s="1353" t="s">
        <v>734</v>
      </c>
      <c r="J11" s="1354" t="s">
        <v>735</v>
      </c>
      <c r="K11" s="1354" t="s">
        <v>736</v>
      </c>
      <c r="L11" s="1354" t="s">
        <v>737</v>
      </c>
      <c r="M11" s="1354" t="s">
        <v>738</v>
      </c>
      <c r="N11" s="1355" t="s">
        <v>739</v>
      </c>
      <c r="P11" s="717"/>
    </row>
    <row r="12" spans="1:30" ht="15.75">
      <c r="A12" s="743"/>
      <c r="F12" s="105"/>
      <c r="G12" s="105"/>
      <c r="H12" s="1356">
        <f>+I12-1</f>
        <v>2021</v>
      </c>
      <c r="I12" s="1357">
        <f>Cover!E11</f>
        <v>2022</v>
      </c>
      <c r="J12" s="1358">
        <f>+I13</f>
        <v>2023</v>
      </c>
      <c r="K12" s="1358">
        <f>+J13</f>
        <v>2024</v>
      </c>
      <c r="L12" s="1358">
        <f>+K13</f>
        <v>2025</v>
      </c>
      <c r="M12" s="1358">
        <f>+L13</f>
        <v>2026</v>
      </c>
      <c r="N12" s="1359">
        <f>+M13</f>
        <v>2027</v>
      </c>
      <c r="P12" s="541"/>
    </row>
    <row r="13" spans="1:30" s="84" customFormat="1" ht="15.75">
      <c r="A13" s="743"/>
      <c r="D13" s="106"/>
      <c r="E13" s="106"/>
      <c r="F13" s="107"/>
      <c r="G13" s="107"/>
      <c r="H13" s="1150">
        <f>+I13-1</f>
        <v>2022</v>
      </c>
      <c r="I13" s="1150">
        <f t="shared" ref="I13:N13" si="0">+I12+1</f>
        <v>2023</v>
      </c>
      <c r="J13" s="1151">
        <f t="shared" si="0"/>
        <v>2024</v>
      </c>
      <c r="K13" s="1151">
        <f t="shared" si="0"/>
        <v>2025</v>
      </c>
      <c r="L13" s="1151">
        <f t="shared" si="0"/>
        <v>2026</v>
      </c>
      <c r="M13" s="1151">
        <f t="shared" si="0"/>
        <v>2027</v>
      </c>
      <c r="N13" s="1152">
        <f t="shared" si="0"/>
        <v>2028</v>
      </c>
      <c r="P13" s="541"/>
      <c r="Q13" s="80"/>
      <c r="R13" s="80"/>
      <c r="S13" s="80"/>
      <c r="T13" s="80"/>
      <c r="U13" s="80"/>
      <c r="V13" s="80"/>
      <c r="W13" s="80"/>
      <c r="X13" s="80"/>
      <c r="Y13" s="80"/>
      <c r="Z13" s="80"/>
      <c r="AA13" s="80"/>
      <c r="AB13" s="80"/>
      <c r="AC13" s="80"/>
      <c r="AD13" s="80"/>
    </row>
    <row r="14" spans="1:30" s="84" customFormat="1" ht="18.75">
      <c r="A14" s="743">
        <f>ROW()</f>
        <v>14</v>
      </c>
      <c r="B14" s="1153" t="s">
        <v>216</v>
      </c>
      <c r="C14" s="1154"/>
      <c r="D14" s="1089"/>
      <c r="E14" s="1089"/>
      <c r="F14" s="1155"/>
      <c r="G14" s="1155"/>
      <c r="H14" s="413"/>
      <c r="I14" s="414"/>
      <c r="J14" s="414"/>
      <c r="K14" s="414"/>
      <c r="L14" s="414"/>
      <c r="M14" s="414"/>
      <c r="N14" s="414"/>
      <c r="P14" s="541"/>
      <c r="Q14" s="80"/>
      <c r="R14" s="80"/>
      <c r="S14" s="80"/>
      <c r="T14" s="80"/>
      <c r="U14" s="80"/>
      <c r="V14" s="80"/>
      <c r="W14" s="80"/>
      <c r="X14" s="80"/>
      <c r="Y14" s="80"/>
      <c r="Z14" s="80"/>
      <c r="AA14" s="80"/>
      <c r="AB14" s="80"/>
      <c r="AC14" s="80"/>
      <c r="AD14" s="80"/>
    </row>
    <row r="15" spans="1:30">
      <c r="A15" s="743">
        <f>ROW()</f>
        <v>15</v>
      </c>
      <c r="B15" s="1089" t="s">
        <v>217</v>
      </c>
      <c r="C15" s="1156"/>
      <c r="D15" s="1089"/>
      <c r="E15" s="1089"/>
      <c r="F15" s="1157"/>
      <c r="G15" s="1157"/>
      <c r="H15" s="1349">
        <v>0</v>
      </c>
      <c r="I15" s="762">
        <f t="shared" ref="I15:N15" si="1">COUNTIF(I18:I30,"&gt;0")</f>
        <v>3</v>
      </c>
      <c r="J15" s="762">
        <f t="shared" si="1"/>
        <v>4</v>
      </c>
      <c r="K15" s="762">
        <f t="shared" si="1"/>
        <v>5</v>
      </c>
      <c r="L15" s="762">
        <f t="shared" si="1"/>
        <v>6</v>
      </c>
      <c r="M15" s="762">
        <f t="shared" si="1"/>
        <v>6</v>
      </c>
      <c r="N15" s="762">
        <f t="shared" si="1"/>
        <v>6</v>
      </c>
      <c r="P15" s="541"/>
    </row>
    <row r="16" spans="1:30">
      <c r="A16" s="743">
        <f>ROW()</f>
        <v>16</v>
      </c>
      <c r="B16" s="97" t="s">
        <v>218</v>
      </c>
      <c r="C16" s="1158"/>
      <c r="D16" s="97"/>
      <c r="E16" s="97"/>
      <c r="F16" s="1159"/>
      <c r="G16" s="1159"/>
      <c r="H16" s="1287">
        <v>0</v>
      </c>
      <c r="I16" s="762">
        <f>+' Enrol &amp; Rev'!H17</f>
        <v>9</v>
      </c>
      <c r="J16" s="762">
        <f>+' Enrol &amp; Rev'!I17</f>
        <v>12</v>
      </c>
      <c r="K16" s="762">
        <f>+' Enrol &amp; Rev'!J17</f>
        <v>15</v>
      </c>
      <c r="L16" s="762">
        <f>+' Enrol &amp; Rev'!K17</f>
        <v>18</v>
      </c>
      <c r="M16" s="762">
        <f>+' Enrol &amp; Rev'!L17</f>
        <v>18</v>
      </c>
      <c r="N16" s="762">
        <f>+' Enrol &amp; Rev'!M17</f>
        <v>18</v>
      </c>
      <c r="P16" s="541"/>
    </row>
    <row r="17" spans="1:16">
      <c r="A17" s="743">
        <f>ROW()</f>
        <v>17</v>
      </c>
      <c r="B17" s="108"/>
      <c r="C17" s="1847"/>
      <c r="D17" s="1848"/>
      <c r="E17" s="1848"/>
      <c r="F17" s="430"/>
      <c r="G17" s="430"/>
      <c r="H17" s="430"/>
      <c r="I17" s="430"/>
      <c r="J17" s="430"/>
      <c r="K17" s="430"/>
      <c r="L17" s="430"/>
      <c r="M17" s="430"/>
      <c r="N17" s="430"/>
      <c r="P17" s="541"/>
    </row>
    <row r="18" spans="1:16">
      <c r="A18" s="743">
        <f>ROW()</f>
        <v>18</v>
      </c>
      <c r="B18" s="238" t="s">
        <v>219</v>
      </c>
      <c r="C18" s="109"/>
      <c r="D18" s="108"/>
      <c r="E18" s="108"/>
      <c r="F18" s="58"/>
      <c r="G18" s="58"/>
      <c r="H18" s="1284"/>
      <c r="I18" s="910">
        <f>+Market!E14</f>
        <v>60</v>
      </c>
      <c r="J18" s="910">
        <f>+Market!F14</f>
        <v>60</v>
      </c>
      <c r="K18" s="910">
        <f>+Market!G14</f>
        <v>60</v>
      </c>
      <c r="L18" s="910">
        <f>+Market!H14</f>
        <v>60</v>
      </c>
      <c r="M18" s="910">
        <f>+Market!I14</f>
        <v>60</v>
      </c>
      <c r="N18" s="910">
        <f>+Market!J14</f>
        <v>60</v>
      </c>
      <c r="P18" s="541"/>
    </row>
    <row r="19" spans="1:16">
      <c r="A19" s="743">
        <f>ROW()</f>
        <v>19</v>
      </c>
      <c r="B19" s="112" t="s">
        <v>220</v>
      </c>
      <c r="C19" s="113"/>
      <c r="D19" s="112"/>
      <c r="E19" s="112"/>
      <c r="F19" s="431"/>
      <c r="G19" s="431"/>
      <c r="H19" s="1285"/>
      <c r="I19" s="909">
        <f>+Market!E15</f>
        <v>60</v>
      </c>
      <c r="J19" s="909">
        <f>+Market!F15</f>
        <v>60</v>
      </c>
      <c r="K19" s="909">
        <f>+Market!G15</f>
        <v>60</v>
      </c>
      <c r="L19" s="909">
        <f>+Market!H15</f>
        <v>60</v>
      </c>
      <c r="M19" s="909">
        <f>+Market!I15</f>
        <v>60</v>
      </c>
      <c r="N19" s="909">
        <f>+Market!J15</f>
        <v>60</v>
      </c>
      <c r="P19" s="541"/>
    </row>
    <row r="20" spans="1:16">
      <c r="A20" s="743">
        <f>ROW()</f>
        <v>20</v>
      </c>
      <c r="B20" s="112" t="s">
        <v>221</v>
      </c>
      <c r="C20" s="113"/>
      <c r="D20" s="112"/>
      <c r="E20" s="112"/>
      <c r="F20" s="431"/>
      <c r="G20" s="431"/>
      <c r="H20" s="1285"/>
      <c r="I20" s="909">
        <f>+Market!E16</f>
        <v>60</v>
      </c>
      <c r="J20" s="909">
        <f>+Market!F16</f>
        <v>60</v>
      </c>
      <c r="K20" s="909">
        <f>+Market!G16</f>
        <v>60</v>
      </c>
      <c r="L20" s="909">
        <f>+Market!H16</f>
        <v>60</v>
      </c>
      <c r="M20" s="909">
        <f>+Market!I16</f>
        <v>60</v>
      </c>
      <c r="N20" s="909">
        <f>+Market!J16</f>
        <v>60</v>
      </c>
      <c r="P20" s="541"/>
    </row>
    <row r="21" spans="1:16">
      <c r="A21" s="743">
        <f>ROW()</f>
        <v>21</v>
      </c>
      <c r="B21" s="112" t="s">
        <v>222</v>
      </c>
      <c r="C21" s="113"/>
      <c r="D21" s="112"/>
      <c r="E21" s="112"/>
      <c r="F21" s="431"/>
      <c r="G21" s="431"/>
      <c r="H21" s="1285"/>
      <c r="I21" s="909">
        <f>+Market!E17</f>
        <v>0</v>
      </c>
      <c r="J21" s="909">
        <f>+Market!F17</f>
        <v>60</v>
      </c>
      <c r="K21" s="909">
        <f>+Market!G17</f>
        <v>60</v>
      </c>
      <c r="L21" s="909">
        <f>+Market!H17</f>
        <v>60</v>
      </c>
      <c r="M21" s="909">
        <f>+Market!I17</f>
        <v>60</v>
      </c>
      <c r="N21" s="909">
        <f>+Market!J17</f>
        <v>60</v>
      </c>
      <c r="P21" s="541"/>
    </row>
    <row r="22" spans="1:16">
      <c r="A22" s="743">
        <f>ROW()</f>
        <v>22</v>
      </c>
      <c r="B22" s="112" t="s">
        <v>223</v>
      </c>
      <c r="C22" s="113"/>
      <c r="D22" s="112"/>
      <c r="E22" s="112"/>
      <c r="F22" s="431"/>
      <c r="G22" s="431"/>
      <c r="H22" s="1285"/>
      <c r="I22" s="909">
        <f>+Market!E18</f>
        <v>0</v>
      </c>
      <c r="J22" s="909">
        <f>+Market!F18</f>
        <v>0</v>
      </c>
      <c r="K22" s="909">
        <f>+Market!G18</f>
        <v>60</v>
      </c>
      <c r="L22" s="909">
        <f>+Market!H18</f>
        <v>60</v>
      </c>
      <c r="M22" s="909">
        <f>+Market!I18</f>
        <v>60</v>
      </c>
      <c r="N22" s="909">
        <f>+Market!J18</f>
        <v>60</v>
      </c>
      <c r="P22" s="541"/>
    </row>
    <row r="23" spans="1:16">
      <c r="A23" s="743">
        <f>ROW()</f>
        <v>23</v>
      </c>
      <c r="B23" s="112" t="s">
        <v>224</v>
      </c>
      <c r="C23" s="113"/>
      <c r="D23" s="112"/>
      <c r="E23" s="112"/>
      <c r="F23" s="431"/>
      <c r="G23" s="431"/>
      <c r="H23" s="1285"/>
      <c r="I23" s="909">
        <f>+Market!E19</f>
        <v>0</v>
      </c>
      <c r="J23" s="909">
        <f>+Market!F19</f>
        <v>0</v>
      </c>
      <c r="K23" s="909">
        <f>+Market!G19</f>
        <v>0</v>
      </c>
      <c r="L23" s="909">
        <f>+Market!H19</f>
        <v>60</v>
      </c>
      <c r="M23" s="909">
        <f>+Market!I19</f>
        <v>60</v>
      </c>
      <c r="N23" s="909">
        <f>+Market!J19</f>
        <v>60</v>
      </c>
      <c r="P23" s="541"/>
    </row>
    <row r="24" spans="1:16">
      <c r="A24" s="743">
        <f>ROW()</f>
        <v>24</v>
      </c>
      <c r="B24" s="112" t="s">
        <v>225</v>
      </c>
      <c r="C24" s="113"/>
      <c r="D24" s="112"/>
      <c r="E24" s="112"/>
      <c r="F24" s="431"/>
      <c r="G24" s="431"/>
      <c r="H24" s="1285"/>
      <c r="I24" s="909">
        <f>+Market!E20</f>
        <v>0</v>
      </c>
      <c r="J24" s="909">
        <f>+Market!F20</f>
        <v>0</v>
      </c>
      <c r="K24" s="909">
        <f>+Market!G20</f>
        <v>0</v>
      </c>
      <c r="L24" s="909">
        <f>+Market!H20</f>
        <v>0</v>
      </c>
      <c r="M24" s="909">
        <f>+Market!I20</f>
        <v>0</v>
      </c>
      <c r="N24" s="909">
        <f>+Market!J20</f>
        <v>0</v>
      </c>
      <c r="P24" s="541"/>
    </row>
    <row r="25" spans="1:16">
      <c r="A25" s="743">
        <f>ROW()</f>
        <v>25</v>
      </c>
      <c r="B25" s="112" t="s">
        <v>226</v>
      </c>
      <c r="C25" s="113"/>
      <c r="D25" s="112"/>
      <c r="E25" s="112"/>
      <c r="F25" s="431"/>
      <c r="G25" s="431"/>
      <c r="H25" s="1285"/>
      <c r="I25" s="909">
        <f>+Market!E21</f>
        <v>0</v>
      </c>
      <c r="J25" s="909">
        <f>+Market!F21</f>
        <v>0</v>
      </c>
      <c r="K25" s="909">
        <f>+Market!G21</f>
        <v>0</v>
      </c>
      <c r="L25" s="909">
        <f>+Market!H21</f>
        <v>0</v>
      </c>
      <c r="M25" s="909">
        <f>+Market!I21</f>
        <v>0</v>
      </c>
      <c r="N25" s="909">
        <f>+Market!J21</f>
        <v>0</v>
      </c>
      <c r="P25" s="541"/>
    </row>
    <row r="26" spans="1:16">
      <c r="A26" s="743">
        <f>ROW()</f>
        <v>26</v>
      </c>
      <c r="B26" s="112" t="s">
        <v>227</v>
      </c>
      <c r="C26" s="113"/>
      <c r="D26" s="112"/>
      <c r="E26" s="112"/>
      <c r="F26" s="431"/>
      <c r="G26" s="431"/>
      <c r="H26" s="1285"/>
      <c r="I26" s="909">
        <f>+Market!E22</f>
        <v>0</v>
      </c>
      <c r="J26" s="909">
        <f>+Market!F22</f>
        <v>0</v>
      </c>
      <c r="K26" s="909">
        <f>+Market!G22</f>
        <v>0</v>
      </c>
      <c r="L26" s="909">
        <f>+Market!H22</f>
        <v>0</v>
      </c>
      <c r="M26" s="909">
        <f>+Market!I22</f>
        <v>0</v>
      </c>
      <c r="N26" s="909">
        <f>+Market!J22</f>
        <v>0</v>
      </c>
      <c r="P26" s="541"/>
    </row>
    <row r="27" spans="1:16">
      <c r="A27" s="743">
        <f>ROW()</f>
        <v>27</v>
      </c>
      <c r="B27" s="112" t="s">
        <v>228</v>
      </c>
      <c r="C27" s="113"/>
      <c r="D27" s="112"/>
      <c r="E27" s="112"/>
      <c r="F27" s="431"/>
      <c r="G27" s="431"/>
      <c r="H27" s="1285"/>
      <c r="I27" s="909">
        <f>+Market!E23</f>
        <v>0</v>
      </c>
      <c r="J27" s="909">
        <f>+Market!F23</f>
        <v>0</v>
      </c>
      <c r="K27" s="909">
        <f>+Market!G23</f>
        <v>0</v>
      </c>
      <c r="L27" s="909">
        <f>+Market!H23</f>
        <v>0</v>
      </c>
      <c r="M27" s="909">
        <f>+Market!I23</f>
        <v>0</v>
      </c>
      <c r="N27" s="909">
        <f>+Market!J23</f>
        <v>0</v>
      </c>
      <c r="P27" s="541"/>
    </row>
    <row r="28" spans="1:16">
      <c r="A28" s="743">
        <f>ROW()</f>
        <v>28</v>
      </c>
      <c r="B28" s="112" t="s">
        <v>229</v>
      </c>
      <c r="C28" s="113"/>
      <c r="D28" s="112"/>
      <c r="E28" s="112"/>
      <c r="F28" s="431"/>
      <c r="G28" s="431"/>
      <c r="H28" s="1285"/>
      <c r="I28" s="909">
        <f>+Market!E24</f>
        <v>0</v>
      </c>
      <c r="J28" s="909">
        <f>+Market!F24</f>
        <v>0</v>
      </c>
      <c r="K28" s="909">
        <f>+Market!G24</f>
        <v>0</v>
      </c>
      <c r="L28" s="909">
        <f>+Market!H24</f>
        <v>0</v>
      </c>
      <c r="M28" s="909">
        <f>+Market!I24</f>
        <v>0</v>
      </c>
      <c r="N28" s="909">
        <f>+Market!J24</f>
        <v>0</v>
      </c>
      <c r="P28" s="541"/>
    </row>
    <row r="29" spans="1:16">
      <c r="A29" s="743">
        <f>ROW()</f>
        <v>29</v>
      </c>
      <c r="B29" s="112" t="s">
        <v>230</v>
      </c>
      <c r="C29" s="113"/>
      <c r="D29" s="112"/>
      <c r="E29" s="112"/>
      <c r="F29" s="431"/>
      <c r="G29" s="431"/>
      <c r="H29" s="1285"/>
      <c r="I29" s="909">
        <f>+Market!E25</f>
        <v>0</v>
      </c>
      <c r="J29" s="909">
        <f>+Market!F25</f>
        <v>0</v>
      </c>
      <c r="K29" s="909">
        <f>+Market!G25</f>
        <v>0</v>
      </c>
      <c r="L29" s="909">
        <f>+Market!H25</f>
        <v>0</v>
      </c>
      <c r="M29" s="909">
        <f>+Market!I25</f>
        <v>0</v>
      </c>
      <c r="N29" s="909">
        <f>+Market!J25</f>
        <v>0</v>
      </c>
      <c r="P29" s="541"/>
    </row>
    <row r="30" spans="1:16">
      <c r="A30" s="743">
        <f>ROW()</f>
        <v>30</v>
      </c>
      <c r="B30" s="112" t="s">
        <v>231</v>
      </c>
      <c r="C30" s="113"/>
      <c r="D30" s="112"/>
      <c r="E30" s="112"/>
      <c r="F30" s="431"/>
      <c r="G30" s="189"/>
      <c r="H30" s="1286"/>
      <c r="I30" s="911">
        <f>+Market!E26</f>
        <v>0</v>
      </c>
      <c r="J30" s="911">
        <f>+Market!F26</f>
        <v>0</v>
      </c>
      <c r="K30" s="911">
        <f>+Market!G26</f>
        <v>0</v>
      </c>
      <c r="L30" s="911">
        <f>+Market!H26</f>
        <v>0</v>
      </c>
      <c r="M30" s="911">
        <f>+Market!I26</f>
        <v>0</v>
      </c>
      <c r="N30" s="911">
        <f>+Market!J26</f>
        <v>0</v>
      </c>
      <c r="P30" s="541"/>
    </row>
    <row r="31" spans="1:16">
      <c r="A31" s="743">
        <f>ROW()</f>
        <v>31</v>
      </c>
      <c r="B31" s="279" t="s">
        <v>232</v>
      </c>
      <c r="C31" s="1849"/>
      <c r="D31" s="1849"/>
      <c r="E31" s="1849"/>
      <c r="F31" s="1849"/>
      <c r="G31" s="117"/>
      <c r="H31" s="165"/>
      <c r="I31" s="303">
        <f t="shared" ref="I31:N31" si="2">SUM(I18:I30)</f>
        <v>180</v>
      </c>
      <c r="J31" s="303">
        <f t="shared" si="2"/>
        <v>240</v>
      </c>
      <c r="K31" s="303">
        <f t="shared" si="2"/>
        <v>300</v>
      </c>
      <c r="L31" s="303">
        <f t="shared" si="2"/>
        <v>360</v>
      </c>
      <c r="M31" s="303">
        <f t="shared" si="2"/>
        <v>360</v>
      </c>
      <c r="N31" s="303">
        <f t="shared" si="2"/>
        <v>360</v>
      </c>
      <c r="P31" s="541"/>
    </row>
    <row r="32" spans="1:16">
      <c r="A32" s="743">
        <f>ROW()</f>
        <v>32</v>
      </c>
      <c r="B32" s="108" t="s">
        <v>233</v>
      </c>
      <c r="C32" s="108"/>
      <c r="D32" s="108"/>
      <c r="E32" s="108"/>
      <c r="F32" s="106"/>
      <c r="G32" s="106"/>
      <c r="H32" s="304"/>
      <c r="I32" s="204">
        <f>IFERROR(I31/I16,0)</f>
        <v>20</v>
      </c>
      <c r="J32" s="204">
        <f t="shared" ref="J32:N32" si="3">IFERROR(J31/J16,0)</f>
        <v>20</v>
      </c>
      <c r="K32" s="204">
        <f t="shared" si="3"/>
        <v>20</v>
      </c>
      <c r="L32" s="204">
        <f t="shared" si="3"/>
        <v>20</v>
      </c>
      <c r="M32" s="204">
        <f t="shared" si="3"/>
        <v>20</v>
      </c>
      <c r="N32" s="204">
        <f t="shared" si="3"/>
        <v>20</v>
      </c>
      <c r="P32" s="541"/>
    </row>
    <row r="33" spans="1:16">
      <c r="A33" s="743">
        <f>ROW()</f>
        <v>33</v>
      </c>
      <c r="D33" s="80"/>
      <c r="H33" s="84"/>
      <c r="I33" s="84"/>
      <c r="J33" s="84"/>
      <c r="K33" s="84"/>
      <c r="L33" s="84"/>
      <c r="M33" s="84"/>
      <c r="N33" s="84"/>
      <c r="P33" s="541"/>
    </row>
    <row r="34" spans="1:16" ht="18.75">
      <c r="A34" s="743">
        <f>ROW()</f>
        <v>34</v>
      </c>
      <c r="B34" s="1894" t="s">
        <v>828</v>
      </c>
      <c r="C34" s="1894"/>
      <c r="D34" s="1894"/>
      <c r="E34" s="1161"/>
      <c r="F34" s="1161"/>
      <c r="G34" s="1161"/>
      <c r="H34" s="1118" t="str">
        <f>+H11</f>
        <v>SY 0</v>
      </c>
      <c r="I34" s="1118" t="str">
        <f t="shared" ref="I34:N34" si="4">+I11</f>
        <v>SY 1</v>
      </c>
      <c r="J34" s="1118" t="str">
        <f t="shared" si="4"/>
        <v>SY 2</v>
      </c>
      <c r="K34" s="1118" t="str">
        <f t="shared" si="4"/>
        <v>SY 3</v>
      </c>
      <c r="L34" s="1118" t="str">
        <f t="shared" si="4"/>
        <v>SY 4</v>
      </c>
      <c r="M34" s="1118" t="str">
        <f t="shared" si="4"/>
        <v>SY 5</v>
      </c>
      <c r="N34" s="1118" t="str">
        <f t="shared" si="4"/>
        <v>SY 6</v>
      </c>
      <c r="P34" s="541"/>
    </row>
    <row r="35" spans="1:16">
      <c r="A35" s="743">
        <f>ROW()</f>
        <v>35</v>
      </c>
      <c r="B35" s="1162" t="s">
        <v>829</v>
      </c>
      <c r="C35" s="1162" t="s">
        <v>830</v>
      </c>
      <c r="D35" s="1162"/>
      <c r="E35" s="1162"/>
      <c r="F35" s="1162"/>
      <c r="G35" s="1163" t="s">
        <v>250</v>
      </c>
      <c r="H35" s="1160">
        <f>H13</f>
        <v>2022</v>
      </c>
      <c r="I35" s="1160">
        <f t="shared" ref="I35:N35" si="5">I13</f>
        <v>2023</v>
      </c>
      <c r="J35" s="1160">
        <f t="shared" si="5"/>
        <v>2024</v>
      </c>
      <c r="K35" s="1160">
        <f t="shared" si="5"/>
        <v>2025</v>
      </c>
      <c r="L35" s="1160">
        <f t="shared" si="5"/>
        <v>2026</v>
      </c>
      <c r="M35" s="1160">
        <f t="shared" si="5"/>
        <v>2027</v>
      </c>
      <c r="N35" s="1160">
        <f t="shared" si="5"/>
        <v>2028</v>
      </c>
      <c r="P35" s="541"/>
    </row>
    <row r="36" spans="1:16">
      <c r="A36" s="743">
        <f>ROW()</f>
        <v>36</v>
      </c>
      <c r="B36" s="919" t="s">
        <v>1311</v>
      </c>
      <c r="C36" s="919"/>
      <c r="D36" s="919"/>
      <c r="E36" s="919"/>
      <c r="F36" s="919"/>
      <c r="G36" s="920">
        <f>SUM(H36:N36)</f>
        <v>15000</v>
      </c>
      <c r="H36" s="433">
        <v>5000</v>
      </c>
      <c r="I36" s="433">
        <v>2000</v>
      </c>
      <c r="J36" s="433">
        <v>2000</v>
      </c>
      <c r="K36" s="433">
        <v>2000</v>
      </c>
      <c r="L36" s="433">
        <v>2000</v>
      </c>
      <c r="M36" s="433">
        <v>2000</v>
      </c>
      <c r="N36" s="433">
        <v>0</v>
      </c>
      <c r="P36" s="541"/>
    </row>
    <row r="37" spans="1:16">
      <c r="A37" s="743">
        <f>ROW()</f>
        <v>37</v>
      </c>
      <c r="B37" s="1816" t="s">
        <v>1312</v>
      </c>
      <c r="C37" s="1816"/>
      <c r="D37" s="1816"/>
      <c r="E37" s="1816"/>
      <c r="F37" s="1816"/>
      <c r="G37" s="403">
        <f t="shared" ref="G37:G43" si="6">SUM(H37:N37)</f>
        <v>0</v>
      </c>
      <c r="H37" s="434">
        <v>0</v>
      </c>
      <c r="I37" s="434">
        <v>0</v>
      </c>
      <c r="J37" s="434">
        <v>0</v>
      </c>
      <c r="K37" s="434">
        <v>0</v>
      </c>
      <c r="L37" s="434">
        <v>0</v>
      </c>
      <c r="M37" s="434">
        <v>0</v>
      </c>
      <c r="N37" s="434">
        <v>0</v>
      </c>
      <c r="P37" s="541"/>
    </row>
    <row r="38" spans="1:16">
      <c r="A38" s="743">
        <f>ROW()</f>
        <v>38</v>
      </c>
      <c r="B38" s="1816" t="s">
        <v>1313</v>
      </c>
      <c r="C38" s="1816"/>
      <c r="D38" s="1816"/>
      <c r="E38" s="1816"/>
      <c r="F38" s="1816"/>
      <c r="G38" s="403">
        <f t="shared" si="6"/>
        <v>0</v>
      </c>
      <c r="H38" s="434">
        <v>0</v>
      </c>
      <c r="I38" s="434">
        <v>0</v>
      </c>
      <c r="J38" s="434">
        <v>0</v>
      </c>
      <c r="K38" s="434">
        <v>0</v>
      </c>
      <c r="L38" s="434">
        <v>0</v>
      </c>
      <c r="M38" s="434">
        <v>0</v>
      </c>
      <c r="N38" s="434">
        <v>0</v>
      </c>
      <c r="P38" s="541"/>
    </row>
    <row r="39" spans="1:16">
      <c r="A39" s="743">
        <f>ROW()</f>
        <v>39</v>
      </c>
      <c r="B39" s="1816" t="s">
        <v>1314</v>
      </c>
      <c r="C39" s="1816"/>
      <c r="D39" s="1816"/>
      <c r="E39" s="1816"/>
      <c r="F39" s="1816"/>
      <c r="G39" s="403">
        <f t="shared" si="6"/>
        <v>0</v>
      </c>
      <c r="H39" s="434">
        <v>0</v>
      </c>
      <c r="I39" s="434">
        <v>0</v>
      </c>
      <c r="J39" s="434">
        <v>0</v>
      </c>
      <c r="K39" s="434">
        <v>0</v>
      </c>
      <c r="L39" s="434">
        <v>0</v>
      </c>
      <c r="M39" s="434">
        <v>0</v>
      </c>
      <c r="N39" s="434">
        <v>0</v>
      </c>
      <c r="P39" s="541"/>
    </row>
    <row r="40" spans="1:16">
      <c r="A40" s="743">
        <f>ROW()</f>
        <v>40</v>
      </c>
      <c r="B40" s="1816" t="s">
        <v>1315</v>
      </c>
      <c r="C40" s="1816"/>
      <c r="D40" s="1816"/>
      <c r="E40" s="1816"/>
      <c r="F40" s="1816"/>
      <c r="G40" s="403">
        <f t="shared" si="6"/>
        <v>0</v>
      </c>
      <c r="H40" s="434">
        <v>0</v>
      </c>
      <c r="I40" s="434">
        <v>0</v>
      </c>
      <c r="J40" s="434">
        <v>0</v>
      </c>
      <c r="K40" s="434">
        <v>0</v>
      </c>
      <c r="L40" s="434">
        <v>0</v>
      </c>
      <c r="M40" s="434">
        <v>0</v>
      </c>
      <c r="N40" s="434">
        <v>0</v>
      </c>
      <c r="P40" s="541"/>
    </row>
    <row r="41" spans="1:16">
      <c r="A41" s="743">
        <f>ROW()</f>
        <v>41</v>
      </c>
      <c r="B41" s="1816" t="s">
        <v>1316</v>
      </c>
      <c r="C41" s="1816"/>
      <c r="D41" s="1816"/>
      <c r="E41" s="1816"/>
      <c r="F41" s="1816"/>
      <c r="G41" s="403">
        <f t="shared" si="6"/>
        <v>0</v>
      </c>
      <c r="H41" s="434">
        <v>0</v>
      </c>
      <c r="I41" s="434">
        <v>0</v>
      </c>
      <c r="J41" s="434">
        <v>0</v>
      </c>
      <c r="K41" s="434">
        <v>0</v>
      </c>
      <c r="L41" s="434">
        <v>0</v>
      </c>
      <c r="M41" s="434">
        <v>0</v>
      </c>
      <c r="N41" s="434">
        <v>0</v>
      </c>
      <c r="P41" s="541"/>
    </row>
    <row r="42" spans="1:16">
      <c r="A42" s="743">
        <f>ROW()</f>
        <v>42</v>
      </c>
      <c r="B42" s="1816" t="s">
        <v>1317</v>
      </c>
      <c r="C42" s="1816"/>
      <c r="D42" s="1816"/>
      <c r="E42" s="1816"/>
      <c r="F42" s="1816"/>
      <c r="G42" s="403">
        <f t="shared" si="6"/>
        <v>0</v>
      </c>
      <c r="H42" s="434">
        <v>0</v>
      </c>
      <c r="I42" s="434">
        <v>0</v>
      </c>
      <c r="J42" s="434">
        <v>0</v>
      </c>
      <c r="K42" s="434">
        <v>0</v>
      </c>
      <c r="L42" s="434">
        <v>0</v>
      </c>
      <c r="M42" s="434">
        <v>0</v>
      </c>
      <c r="N42" s="434">
        <v>0</v>
      </c>
      <c r="P42" s="541"/>
    </row>
    <row r="43" spans="1:16">
      <c r="A43" s="743">
        <f>ROW()</f>
        <v>43</v>
      </c>
      <c r="B43" s="917"/>
      <c r="C43" s="917"/>
      <c r="D43" s="917"/>
      <c r="E43" s="917"/>
      <c r="F43" s="917"/>
      <c r="G43" s="918">
        <f t="shared" si="6"/>
        <v>0</v>
      </c>
      <c r="H43" s="435">
        <v>0</v>
      </c>
      <c r="I43" s="435">
        <v>0</v>
      </c>
      <c r="J43" s="435">
        <v>0</v>
      </c>
      <c r="K43" s="435">
        <v>0</v>
      </c>
      <c r="L43" s="435">
        <v>0</v>
      </c>
      <c r="M43" s="435">
        <v>0</v>
      </c>
      <c r="N43" s="435">
        <v>0</v>
      </c>
      <c r="P43" s="541"/>
    </row>
    <row r="44" spans="1:16">
      <c r="A44" s="743">
        <f>ROW()</f>
        <v>44</v>
      </c>
      <c r="B44" s="106" t="s">
        <v>831</v>
      </c>
      <c r="C44" s="914"/>
      <c r="D44" s="914"/>
      <c r="E44" s="106"/>
      <c r="F44" s="106"/>
      <c r="G44" s="915">
        <f>SUM(H44:N44)</f>
        <v>15000</v>
      </c>
      <c r="H44" s="916">
        <f t="shared" ref="H44:N44" si="7">SUM(H36:H43)</f>
        <v>5000</v>
      </c>
      <c r="I44" s="916">
        <f t="shared" si="7"/>
        <v>2000</v>
      </c>
      <c r="J44" s="916">
        <f t="shared" si="7"/>
        <v>2000</v>
      </c>
      <c r="K44" s="916">
        <f t="shared" si="7"/>
        <v>2000</v>
      </c>
      <c r="L44" s="916">
        <f t="shared" si="7"/>
        <v>2000</v>
      </c>
      <c r="M44" s="916">
        <f t="shared" si="7"/>
        <v>2000</v>
      </c>
      <c r="N44" s="916">
        <f t="shared" si="7"/>
        <v>0</v>
      </c>
      <c r="P44" s="541"/>
    </row>
    <row r="45" spans="1:16">
      <c r="G45" s="359">
        <f t="shared" ref="G45:N45" si="8">IFERROR(G44/$G$44,0)</f>
        <v>1</v>
      </c>
      <c r="H45" s="359">
        <f t="shared" si="8"/>
        <v>0.33333333333333331</v>
      </c>
      <c r="I45" s="359">
        <f t="shared" si="8"/>
        <v>0.13333333333333333</v>
      </c>
      <c r="J45" s="359">
        <f t="shared" si="8"/>
        <v>0.13333333333333333</v>
      </c>
      <c r="K45" s="359">
        <f t="shared" si="8"/>
        <v>0.13333333333333333</v>
      </c>
      <c r="L45" s="359">
        <f t="shared" si="8"/>
        <v>0.13333333333333333</v>
      </c>
      <c r="M45" s="359">
        <f t="shared" si="8"/>
        <v>0.13333333333333333</v>
      </c>
      <c r="N45" s="359">
        <f t="shared" si="8"/>
        <v>0</v>
      </c>
      <c r="P45" s="541"/>
    </row>
    <row r="46" spans="1:16">
      <c r="P46" s="541"/>
    </row>
    <row r="47" spans="1:16">
      <c r="P47" s="541"/>
    </row>
  </sheetData>
  <sheetProtection algorithmName="SHA-512" hashValue="O9NNs9DBgWTJuM8a1pXkQ8BYkBb1Y02lkwhEh44yL/mTXhTqfOJC5oLPhNTbNQk7grxuyC9Yc9Mqytt+JocHug==" saltValue="0WrFdU5o2aYfC+2+GmEBNg==" spinCount="100000" sheet="1" objects="1" scenarios="1"/>
  <mergeCells count="3">
    <mergeCell ref="B34:D34"/>
    <mergeCell ref="A2:B2"/>
    <mergeCell ref="A1:B1"/>
  </mergeCells>
  <conditionalFormatting sqref="B18:G30">
    <cfRule type="expression" dxfId="22" priority="10" stopIfTrue="1">
      <formula>MOD(ROW(),2)=0</formula>
    </cfRule>
  </conditionalFormatting>
  <conditionalFormatting sqref="H18:N30">
    <cfRule type="cellIs" dxfId="21" priority="11" stopIfTrue="1" operator="equal">
      <formula>0</formula>
    </cfRule>
  </conditionalFormatting>
  <conditionalFormatting sqref="H15:H16">
    <cfRule type="cellIs" dxfId="20" priority="12" stopIfTrue="1" operator="equal">
      <formula>0</formula>
    </cfRule>
  </conditionalFormatting>
  <conditionalFormatting sqref="A2:B2">
    <cfRule type="cellIs" dxfId="19" priority="13" stopIfTrue="1" operator="equal">
      <formula>0</formula>
    </cfRule>
  </conditionalFormatting>
  <conditionalFormatting sqref="G1">
    <cfRule type="expression" dxfId="18" priority="3" stopIfTrue="1">
      <formula>MOD(ROW(),2)=0</formula>
    </cfRule>
  </conditionalFormatting>
  <conditionalFormatting sqref="I15:N16">
    <cfRule type="cellIs" dxfId="17" priority="14" stopIfTrue="1" operator="equal">
      <formula>0</formula>
    </cfRule>
  </conditionalFormatting>
  <hyperlinks>
    <hyperlink ref="G1" location="HypLink1" display="HypLink1"/>
  </hyperlinks>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M68"/>
  <sheetViews>
    <sheetView tabSelected="1" workbookViewId="0">
      <selection activeCell="B18" sqref="B18:D18"/>
    </sheetView>
  </sheetViews>
  <sheetFormatPr defaultColWidth="8.85546875" defaultRowHeight="12.75"/>
  <cols>
    <col min="1" max="1" width="4.7109375" style="7" customWidth="1"/>
    <col min="2" max="2" width="30.140625" style="7" customWidth="1"/>
    <col min="3" max="3" width="16.7109375" style="7" customWidth="1"/>
    <col min="4" max="4" width="15.28515625" style="7" bestFit="1" customWidth="1"/>
    <col min="5" max="5" width="13.7109375" style="7" customWidth="1"/>
    <col min="6" max="6" width="3.7109375" style="7" customWidth="1"/>
    <col min="7" max="7" width="35.85546875" style="7" customWidth="1"/>
    <col min="8" max="8" width="3.5703125" style="7" customWidth="1"/>
    <col min="9" max="16384" width="8.85546875" style="7"/>
  </cols>
  <sheetData>
    <row r="1" spans="1:13" ht="18">
      <c r="A1" s="27" t="s">
        <v>832</v>
      </c>
      <c r="B1" s="26"/>
      <c r="C1" s="26"/>
      <c r="E1" s="640" t="s">
        <v>2</v>
      </c>
    </row>
    <row r="2" spans="1:13" ht="15.75">
      <c r="A2" s="32" t="str">
        <f>SchoolName</f>
        <v>Strong Start Academy Elementary School</v>
      </c>
      <c r="B2" s="31"/>
      <c r="C2" s="31"/>
    </row>
    <row r="3" spans="1:13">
      <c r="A3" s="11" t="s">
        <v>833</v>
      </c>
    </row>
    <row r="4" spans="1:13">
      <c r="A4" s="10" t="s">
        <v>62</v>
      </c>
      <c r="H4" s="8"/>
      <c r="I4" s="8"/>
      <c r="J4" s="8"/>
      <c r="K4" s="8"/>
      <c r="L4" s="8"/>
      <c r="M4" s="8"/>
    </row>
    <row r="5" spans="1:13">
      <c r="A5" s="9" t="str">
        <f ca="1">CELL("filename")</f>
        <v>C:\Users\rsaucedo\OneDrive - City of Las Vegas\CLV Charter School\[Strong Start Academy Elementary School Financial Workbook 2021.xlsx]Incubation</v>
      </c>
      <c r="H5" s="8"/>
      <c r="I5" s="8"/>
      <c r="J5" s="8"/>
      <c r="K5" s="8"/>
      <c r="L5" s="8"/>
      <c r="M5" s="8"/>
    </row>
    <row r="6" spans="1:13">
      <c r="A6" s="8"/>
      <c r="B6" s="1850"/>
      <c r="C6" s="570"/>
      <c r="D6" s="570"/>
      <c r="E6" s="8"/>
      <c r="F6" s="8"/>
      <c r="G6" s="8"/>
      <c r="H6" s="8"/>
      <c r="I6" s="8"/>
      <c r="J6" s="8"/>
      <c r="K6" s="8"/>
      <c r="L6" s="8"/>
      <c r="M6" s="8"/>
    </row>
    <row r="7" spans="1:13">
      <c r="A7" s="8"/>
      <c r="B7" s="8"/>
      <c r="C7" s="8"/>
      <c r="D7" s="8"/>
      <c r="E7" s="1164">
        <f>+Cover!E11-1</f>
        <v>2021</v>
      </c>
      <c r="F7" s="8"/>
      <c r="G7" s="8"/>
      <c r="H7" s="8"/>
      <c r="I7" s="8"/>
      <c r="J7" s="8"/>
      <c r="K7" s="8"/>
      <c r="L7" s="8"/>
      <c r="M7" s="8"/>
    </row>
    <row r="8" spans="1:13">
      <c r="A8" s="8"/>
      <c r="B8" s="8"/>
      <c r="C8" s="8"/>
      <c r="D8" s="8"/>
      <c r="E8" s="1165">
        <f>+E7+1</f>
        <v>2022</v>
      </c>
      <c r="F8" s="8"/>
      <c r="G8" s="8"/>
      <c r="H8" s="8"/>
      <c r="I8" s="8"/>
      <c r="J8" s="8"/>
      <c r="K8" s="8"/>
      <c r="L8" s="8"/>
      <c r="M8" s="8"/>
    </row>
    <row r="9" spans="1:13" ht="14.25" customHeight="1">
      <c r="A9" s="8"/>
      <c r="B9" s="1898" t="s">
        <v>834</v>
      </c>
      <c r="C9" s="1899"/>
      <c r="D9" s="1899"/>
      <c r="E9" s="1900"/>
      <c r="F9" s="8"/>
      <c r="G9" s="1813" t="s">
        <v>84</v>
      </c>
      <c r="H9" s="8"/>
      <c r="I9" s="8"/>
      <c r="J9" s="8"/>
      <c r="K9" s="8"/>
      <c r="L9" s="8"/>
      <c r="M9" s="8"/>
    </row>
    <row r="10" spans="1:13" ht="15">
      <c r="A10" s="754">
        <f>ROW()</f>
        <v>10</v>
      </c>
      <c r="B10" s="1901" t="s">
        <v>835</v>
      </c>
      <c r="C10" s="1901"/>
      <c r="D10" s="1901"/>
      <c r="E10" s="702">
        <v>0</v>
      </c>
      <c r="F10" s="18"/>
      <c r="G10" s="717"/>
      <c r="H10" s="8"/>
      <c r="I10" s="8"/>
      <c r="J10" s="8"/>
      <c r="K10" s="8"/>
      <c r="L10" s="8"/>
      <c r="M10" s="8"/>
    </row>
    <row r="11" spans="1:13" ht="15">
      <c r="A11" s="754">
        <f>ROW()</f>
        <v>11</v>
      </c>
      <c r="B11" s="1902"/>
      <c r="C11" s="1902"/>
      <c r="D11" s="1902"/>
      <c r="E11" s="703">
        <v>0</v>
      </c>
      <c r="F11" s="18"/>
      <c r="G11" s="541"/>
      <c r="H11" s="8"/>
      <c r="I11" s="8"/>
      <c r="J11" s="8"/>
      <c r="K11" s="8"/>
      <c r="L11" s="8"/>
      <c r="M11" s="8"/>
    </row>
    <row r="12" spans="1:13" ht="15">
      <c r="A12" s="754">
        <f>ROW()</f>
        <v>12</v>
      </c>
      <c r="B12" s="1902"/>
      <c r="C12" s="1902"/>
      <c r="D12" s="1902"/>
      <c r="E12" s="703">
        <v>0</v>
      </c>
      <c r="F12" s="18"/>
      <c r="G12" s="541"/>
      <c r="H12" s="8"/>
      <c r="I12" s="8"/>
      <c r="J12" s="8"/>
      <c r="K12" s="8"/>
      <c r="L12" s="8"/>
      <c r="M12" s="8"/>
    </row>
    <row r="13" spans="1:13" ht="15">
      <c r="A13" s="754">
        <f>ROW()</f>
        <v>13</v>
      </c>
      <c r="B13" s="1902" t="s">
        <v>1309</v>
      </c>
      <c r="C13" s="1902"/>
      <c r="D13" s="1902"/>
      <c r="E13" s="703">
        <v>2000</v>
      </c>
      <c r="F13" s="18"/>
      <c r="G13" s="541" t="s">
        <v>1310</v>
      </c>
      <c r="H13" s="8"/>
      <c r="I13" s="8"/>
      <c r="J13" s="8"/>
      <c r="K13" s="8"/>
      <c r="L13" s="8"/>
      <c r="M13" s="8"/>
    </row>
    <row r="14" spans="1:13" ht="15">
      <c r="A14" s="754">
        <f>ROW()</f>
        <v>14</v>
      </c>
      <c r="B14" s="1902" t="s">
        <v>836</v>
      </c>
      <c r="C14" s="1902"/>
      <c r="D14" s="1902"/>
      <c r="E14" s="703">
        <v>8000</v>
      </c>
      <c r="F14" s="18"/>
      <c r="G14" s="541"/>
      <c r="H14" s="8"/>
      <c r="I14" s="8"/>
      <c r="J14" s="8"/>
      <c r="K14" s="8"/>
      <c r="L14" s="8"/>
      <c r="M14" s="8"/>
    </row>
    <row r="15" spans="1:13" ht="15">
      <c r="A15" s="754">
        <f>ROW()</f>
        <v>15</v>
      </c>
      <c r="B15" s="1902" t="s">
        <v>1307</v>
      </c>
      <c r="C15" s="1902"/>
      <c r="D15" s="1902"/>
      <c r="E15" s="703">
        <v>20000</v>
      </c>
      <c r="F15" s="18"/>
      <c r="G15" s="541"/>
      <c r="H15" s="8"/>
      <c r="I15" s="8"/>
      <c r="J15" s="8"/>
      <c r="K15" s="8"/>
      <c r="L15" s="8"/>
      <c r="M15" s="8"/>
    </row>
    <row r="16" spans="1:13" ht="15">
      <c r="A16" s="754">
        <f>ROW()</f>
        <v>16</v>
      </c>
      <c r="B16" s="1902" t="s">
        <v>1306</v>
      </c>
      <c r="C16" s="1902"/>
      <c r="D16" s="1902"/>
      <c r="E16" s="703">
        <v>10000</v>
      </c>
      <c r="F16" s="18"/>
      <c r="G16" s="541"/>
      <c r="H16" s="8"/>
      <c r="I16" s="8"/>
      <c r="J16" s="8"/>
      <c r="K16" s="8"/>
      <c r="L16" s="8"/>
      <c r="M16" s="8"/>
    </row>
    <row r="17" spans="1:13" ht="15">
      <c r="A17" s="754">
        <f>ROW()</f>
        <v>17</v>
      </c>
      <c r="B17" s="1902" t="s">
        <v>1308</v>
      </c>
      <c r="C17" s="1902"/>
      <c r="D17" s="1902"/>
      <c r="E17" s="703">
        <v>15000</v>
      </c>
      <c r="F17" s="18"/>
      <c r="G17" s="541" t="s">
        <v>1324</v>
      </c>
      <c r="H17" s="8"/>
      <c r="I17" s="8"/>
      <c r="J17" s="8"/>
      <c r="K17" s="8"/>
      <c r="L17" s="8"/>
      <c r="M17" s="8"/>
    </row>
    <row r="18" spans="1:13" ht="15">
      <c r="A18" s="754">
        <f>ROW()</f>
        <v>18</v>
      </c>
      <c r="B18" s="1903"/>
      <c r="C18" s="1902"/>
      <c r="D18" s="1902"/>
      <c r="E18" s="703"/>
      <c r="F18" s="18"/>
      <c r="G18" s="541"/>
      <c r="H18" s="8"/>
      <c r="I18" s="8"/>
      <c r="J18" s="8"/>
      <c r="K18" s="8"/>
      <c r="L18" s="8"/>
      <c r="M18" s="8"/>
    </row>
    <row r="19" spans="1:13" ht="15">
      <c r="A19" s="754">
        <f>ROW()</f>
        <v>19</v>
      </c>
      <c r="B19" s="1902"/>
      <c r="C19" s="1902"/>
      <c r="D19" s="1902"/>
      <c r="E19" s="703"/>
      <c r="F19" s="18"/>
      <c r="G19" s="541"/>
      <c r="H19" s="8"/>
      <c r="I19" s="8"/>
      <c r="J19" s="8"/>
      <c r="K19" s="8"/>
      <c r="L19" s="8"/>
      <c r="M19" s="8"/>
    </row>
    <row r="20" spans="1:13" ht="15">
      <c r="A20" s="754">
        <f>ROW()</f>
        <v>20</v>
      </c>
      <c r="B20" s="1902"/>
      <c r="C20" s="1902"/>
      <c r="D20" s="1902"/>
      <c r="E20" s="703">
        <v>0</v>
      </c>
      <c r="F20" s="18"/>
      <c r="G20" s="541"/>
      <c r="H20" s="8"/>
      <c r="I20" s="8"/>
      <c r="J20" s="8"/>
      <c r="K20" s="8"/>
      <c r="L20" s="8"/>
      <c r="M20" s="8"/>
    </row>
    <row r="21" spans="1:13" ht="15">
      <c r="A21" s="754">
        <f>ROW()</f>
        <v>21</v>
      </c>
      <c r="B21" s="1902"/>
      <c r="C21" s="1902"/>
      <c r="D21" s="1902"/>
      <c r="E21" s="703">
        <v>0</v>
      </c>
      <c r="F21" s="18"/>
      <c r="G21" s="541"/>
      <c r="H21" s="8"/>
      <c r="I21" s="8"/>
      <c r="J21" s="8"/>
      <c r="K21" s="8"/>
      <c r="L21" s="8"/>
      <c r="M21" s="8"/>
    </row>
    <row r="22" spans="1:13" ht="15">
      <c r="A22" s="754">
        <f>ROW()</f>
        <v>22</v>
      </c>
      <c r="B22" s="1902"/>
      <c r="C22" s="1902"/>
      <c r="D22" s="1902"/>
      <c r="E22" s="703">
        <v>0</v>
      </c>
      <c r="F22" s="18"/>
      <c r="G22" s="541"/>
      <c r="H22" s="8"/>
      <c r="I22" s="8"/>
      <c r="J22" s="8"/>
      <c r="K22" s="8"/>
      <c r="L22" s="8"/>
      <c r="M22" s="8"/>
    </row>
    <row r="23" spans="1:13" ht="15">
      <c r="A23" s="754">
        <f>ROW()</f>
        <v>23</v>
      </c>
      <c r="B23" s="1902"/>
      <c r="C23" s="1902"/>
      <c r="D23" s="1902"/>
      <c r="E23" s="703">
        <v>0</v>
      </c>
      <c r="F23" s="18"/>
      <c r="G23" s="541"/>
      <c r="H23" s="8"/>
      <c r="I23" s="8"/>
      <c r="J23" s="8"/>
      <c r="K23" s="8"/>
      <c r="L23" s="8"/>
      <c r="M23" s="8"/>
    </row>
    <row r="24" spans="1:13" ht="15">
      <c r="A24" s="754">
        <f>ROW()</f>
        <v>24</v>
      </c>
      <c r="B24" s="1902"/>
      <c r="C24" s="1902"/>
      <c r="D24" s="1902"/>
      <c r="E24" s="703">
        <v>0</v>
      </c>
      <c r="F24" s="18"/>
      <c r="G24" s="541"/>
      <c r="H24" s="8"/>
      <c r="I24" s="8"/>
      <c r="J24" s="8"/>
      <c r="K24" s="8"/>
      <c r="L24" s="8"/>
      <c r="M24" s="8"/>
    </row>
    <row r="25" spans="1:13" ht="15">
      <c r="A25" s="754">
        <f>ROW()</f>
        <v>25</v>
      </c>
      <c r="B25" s="1902"/>
      <c r="C25" s="1902"/>
      <c r="D25" s="1902"/>
      <c r="E25" s="703"/>
      <c r="F25" s="18"/>
      <c r="G25" s="541"/>
      <c r="H25" s="8"/>
      <c r="I25" s="8"/>
      <c r="J25" s="8"/>
      <c r="K25" s="8"/>
      <c r="L25" s="8"/>
      <c r="M25" s="8"/>
    </row>
    <row r="26" spans="1:13" ht="15">
      <c r="A26" s="754">
        <f>ROW()</f>
        <v>26</v>
      </c>
      <c r="B26" s="1902"/>
      <c r="C26" s="1902"/>
      <c r="D26" s="1902"/>
      <c r="E26" s="703"/>
      <c r="F26" s="18"/>
      <c r="G26" s="541"/>
      <c r="H26" s="8"/>
      <c r="I26" s="8"/>
      <c r="J26" s="8"/>
      <c r="K26" s="8"/>
      <c r="L26" s="8"/>
      <c r="M26" s="8"/>
    </row>
    <row r="27" spans="1:13" ht="15">
      <c r="A27" s="754">
        <f>ROW()</f>
        <v>27</v>
      </c>
      <c r="B27" s="1904"/>
      <c r="C27" s="1904"/>
      <c r="D27" s="1904"/>
      <c r="E27" s="703">
        <v>0</v>
      </c>
      <c r="F27" s="18"/>
      <c r="G27" s="541"/>
      <c r="H27" s="8"/>
      <c r="I27" s="8"/>
      <c r="J27" s="8"/>
      <c r="K27" s="8"/>
      <c r="L27" s="8"/>
      <c r="M27" s="8"/>
    </row>
    <row r="28" spans="1:13" ht="15">
      <c r="A28" s="754">
        <f>ROW()</f>
        <v>28</v>
      </c>
      <c r="B28" s="1851" t="s">
        <v>837</v>
      </c>
      <c r="C28" s="1851"/>
      <c r="D28" s="1852"/>
      <c r="E28" s="1853">
        <f>SUM(E10:E27)</f>
        <v>55000</v>
      </c>
      <c r="F28" s="19"/>
      <c r="G28" s="8"/>
      <c r="H28" s="8"/>
      <c r="I28" s="8"/>
      <c r="J28" s="8"/>
      <c r="K28" s="8"/>
      <c r="L28" s="8"/>
      <c r="M28" s="8"/>
    </row>
    <row r="29" spans="1:13" ht="15">
      <c r="A29" s="754">
        <f>ROW()</f>
        <v>29</v>
      </c>
      <c r="B29" s="12" t="s">
        <v>838</v>
      </c>
      <c r="C29" s="21"/>
      <c r="D29" s="21"/>
      <c r="E29" s="21"/>
      <c r="F29" s="21"/>
      <c r="G29" s="8"/>
      <c r="H29" s="8"/>
      <c r="I29" s="8"/>
      <c r="J29" s="8"/>
      <c r="K29" s="8"/>
      <c r="L29" s="8"/>
      <c r="M29" s="8"/>
    </row>
    <row r="30" spans="1:13" ht="15">
      <c r="A30" s="8"/>
      <c r="B30" s="12"/>
      <c r="C30" s="8"/>
      <c r="D30" s="8"/>
      <c r="E30" s="8"/>
      <c r="F30" s="8"/>
      <c r="G30" s="8"/>
      <c r="H30" s="8"/>
      <c r="I30" s="8"/>
      <c r="J30" s="8"/>
      <c r="K30" s="8"/>
      <c r="L30" s="8"/>
      <c r="M30" s="8"/>
    </row>
    <row r="31" spans="1:13" ht="15">
      <c r="A31" s="8"/>
      <c r="B31" s="12"/>
      <c r="C31" s="8"/>
      <c r="D31" s="8"/>
      <c r="E31" s="8"/>
      <c r="F31" s="8"/>
      <c r="G31" s="8"/>
      <c r="H31" s="8"/>
      <c r="I31" s="8"/>
      <c r="J31" s="8"/>
      <c r="K31" s="8"/>
      <c r="L31" s="8"/>
      <c r="M31" s="8"/>
    </row>
    <row r="32" spans="1:13" ht="15">
      <c r="A32" s="8"/>
      <c r="B32" s="12"/>
      <c r="C32" s="8"/>
      <c r="D32" s="8"/>
      <c r="E32" s="8"/>
      <c r="F32" s="8"/>
      <c r="G32" s="8"/>
      <c r="H32" s="8"/>
      <c r="I32" s="8"/>
      <c r="J32" s="8"/>
      <c r="K32" s="8"/>
      <c r="L32" s="8"/>
      <c r="M32" s="8"/>
    </row>
    <row r="33" spans="1:13">
      <c r="A33" s="8"/>
      <c r="B33" s="8"/>
      <c r="C33" s="8"/>
      <c r="D33" s="8"/>
      <c r="E33" s="8"/>
      <c r="F33" s="8"/>
      <c r="G33" s="8"/>
      <c r="H33" s="8"/>
      <c r="I33" s="8"/>
      <c r="J33" s="8"/>
      <c r="K33" s="8"/>
      <c r="L33" s="8"/>
      <c r="M33" s="8"/>
    </row>
    <row r="34" spans="1:13">
      <c r="A34" s="8"/>
      <c r="B34" s="8"/>
      <c r="C34" s="8"/>
      <c r="D34" s="8"/>
      <c r="E34" s="8"/>
      <c r="F34" s="8"/>
      <c r="G34" s="8"/>
      <c r="H34" s="8"/>
      <c r="I34" s="8"/>
      <c r="J34" s="8"/>
      <c r="K34" s="8"/>
      <c r="L34" s="8"/>
      <c r="M34" s="8"/>
    </row>
    <row r="35" spans="1:13">
      <c r="A35" s="8"/>
      <c r="B35" s="8"/>
      <c r="C35" s="8"/>
      <c r="D35" s="8"/>
      <c r="E35" s="8"/>
      <c r="F35" s="8"/>
      <c r="G35" s="8"/>
      <c r="H35" s="8"/>
      <c r="I35" s="8"/>
      <c r="J35" s="8"/>
      <c r="K35" s="8"/>
      <c r="L35" s="8"/>
      <c r="M35" s="8"/>
    </row>
    <row r="36" spans="1:13">
      <c r="A36" s="8"/>
      <c r="B36" s="8"/>
      <c r="C36" s="8"/>
      <c r="D36" s="8"/>
      <c r="E36" s="8"/>
      <c r="F36" s="8"/>
      <c r="G36" s="8"/>
      <c r="H36" s="8"/>
      <c r="I36" s="8"/>
      <c r="J36" s="8"/>
      <c r="K36" s="8"/>
      <c r="L36" s="8"/>
      <c r="M36" s="8"/>
    </row>
    <row r="37" spans="1:13">
      <c r="A37" s="8"/>
      <c r="B37" s="8"/>
      <c r="C37" s="8"/>
      <c r="D37" s="8"/>
      <c r="E37" s="8"/>
      <c r="F37" s="8"/>
      <c r="G37" s="8"/>
      <c r="H37" s="8"/>
      <c r="I37" s="8"/>
      <c r="J37" s="8"/>
      <c r="K37" s="8"/>
      <c r="L37" s="8"/>
      <c r="M37" s="8"/>
    </row>
    <row r="38" spans="1:13">
      <c r="A38" s="8"/>
      <c r="B38" s="8"/>
      <c r="C38" s="8"/>
      <c r="D38" s="8"/>
      <c r="E38" s="8"/>
      <c r="F38" s="8"/>
      <c r="G38" s="8"/>
      <c r="H38" s="8"/>
      <c r="I38" s="8"/>
      <c r="J38" s="8"/>
      <c r="K38" s="8"/>
      <c r="L38" s="8"/>
      <c r="M38" s="8"/>
    </row>
    <row r="39" spans="1:13">
      <c r="A39" s="8"/>
      <c r="B39" s="8"/>
      <c r="C39" s="8"/>
      <c r="D39" s="8"/>
      <c r="E39" s="8"/>
      <c r="F39" s="8"/>
      <c r="G39" s="8"/>
      <c r="H39" s="8"/>
      <c r="I39" s="8"/>
      <c r="J39" s="8"/>
      <c r="K39" s="8"/>
      <c r="L39" s="8"/>
      <c r="M39" s="8"/>
    </row>
    <row r="40" spans="1:13">
      <c r="A40" s="8"/>
      <c r="B40" s="8"/>
      <c r="C40" s="8"/>
      <c r="D40" s="8"/>
      <c r="E40" s="8"/>
      <c r="F40" s="8"/>
      <c r="G40" s="8"/>
      <c r="H40" s="8"/>
      <c r="I40" s="8"/>
      <c r="J40" s="8"/>
      <c r="K40" s="8"/>
      <c r="L40" s="8"/>
      <c r="M40" s="8"/>
    </row>
    <row r="41" spans="1:13">
      <c r="A41" s="8"/>
      <c r="B41" s="8"/>
      <c r="C41" s="8"/>
      <c r="D41" s="8"/>
      <c r="E41" s="8"/>
      <c r="F41" s="8"/>
      <c r="G41" s="8"/>
      <c r="H41" s="8"/>
      <c r="I41" s="8"/>
      <c r="J41" s="8"/>
      <c r="K41" s="8"/>
      <c r="L41" s="8"/>
      <c r="M41" s="8"/>
    </row>
    <row r="42" spans="1:13">
      <c r="A42" s="8"/>
      <c r="B42" s="8"/>
      <c r="C42" s="8"/>
      <c r="D42" s="8"/>
      <c r="E42" s="8"/>
      <c r="F42" s="8"/>
      <c r="G42" s="8"/>
      <c r="H42" s="8"/>
      <c r="I42" s="8"/>
      <c r="J42" s="8"/>
      <c r="K42" s="8"/>
      <c r="L42" s="8"/>
      <c r="M42" s="8"/>
    </row>
    <row r="43" spans="1:13">
      <c r="A43" s="8"/>
      <c r="B43" s="8"/>
      <c r="C43" s="8"/>
      <c r="D43" s="8"/>
      <c r="E43" s="8"/>
      <c r="F43" s="8"/>
      <c r="G43" s="8"/>
      <c r="H43" s="8"/>
      <c r="I43" s="8"/>
      <c r="J43" s="8"/>
      <c r="K43" s="8"/>
      <c r="L43" s="8"/>
      <c r="M43" s="8"/>
    </row>
    <row r="44" spans="1:13">
      <c r="A44" s="8"/>
      <c r="B44" s="8"/>
      <c r="C44" s="8"/>
      <c r="D44" s="8"/>
      <c r="E44" s="8"/>
      <c r="F44" s="8"/>
      <c r="G44" s="8"/>
      <c r="H44" s="8"/>
      <c r="I44" s="8"/>
      <c r="J44" s="8"/>
      <c r="K44" s="8"/>
      <c r="L44" s="8"/>
      <c r="M44" s="8"/>
    </row>
    <row r="45" spans="1:13">
      <c r="A45" s="8"/>
      <c r="B45" s="8"/>
      <c r="C45" s="8"/>
      <c r="D45" s="8"/>
      <c r="E45" s="8"/>
      <c r="F45" s="8"/>
      <c r="G45" s="8"/>
      <c r="H45" s="8"/>
      <c r="I45" s="8"/>
      <c r="J45" s="8"/>
      <c r="K45" s="8"/>
      <c r="L45" s="8"/>
      <c r="M45" s="8"/>
    </row>
    <row r="46" spans="1:13">
      <c r="A46" s="8"/>
      <c r="B46" s="8"/>
      <c r="C46" s="8"/>
      <c r="D46" s="8"/>
      <c r="E46" s="8"/>
      <c r="F46" s="8"/>
      <c r="G46" s="8"/>
      <c r="H46" s="8"/>
      <c r="I46" s="8"/>
      <c r="J46" s="8"/>
      <c r="K46" s="8"/>
      <c r="L46" s="8"/>
      <c r="M46" s="8"/>
    </row>
    <row r="47" spans="1:13">
      <c r="A47" s="8"/>
      <c r="B47" s="8"/>
      <c r="C47" s="8"/>
      <c r="D47" s="8"/>
      <c r="E47" s="8"/>
      <c r="F47" s="8"/>
      <c r="G47" s="8"/>
      <c r="H47" s="8"/>
      <c r="I47" s="8"/>
      <c r="J47" s="8"/>
      <c r="K47" s="8"/>
      <c r="L47" s="8"/>
      <c r="M47" s="8"/>
    </row>
    <row r="48" spans="1:13">
      <c r="A48" s="8"/>
      <c r="B48" s="8"/>
      <c r="C48" s="8"/>
      <c r="D48" s="8"/>
      <c r="E48" s="8"/>
      <c r="F48" s="8"/>
      <c r="G48" s="8"/>
      <c r="H48" s="8"/>
      <c r="I48" s="8"/>
      <c r="J48" s="8"/>
      <c r="K48" s="8"/>
      <c r="L48" s="8"/>
      <c r="M48" s="8"/>
    </row>
    <row r="49" spans="1:13">
      <c r="A49" s="8"/>
      <c r="B49" s="8"/>
      <c r="C49" s="8"/>
      <c r="D49" s="8"/>
      <c r="E49" s="8"/>
      <c r="F49" s="8"/>
      <c r="G49" s="8"/>
      <c r="H49" s="8"/>
      <c r="I49" s="8"/>
      <c r="J49" s="8"/>
      <c r="K49" s="8"/>
      <c r="L49" s="8"/>
      <c r="M49" s="8"/>
    </row>
    <row r="50" spans="1:13">
      <c r="A50" s="8"/>
      <c r="B50" s="8"/>
      <c r="C50" s="8"/>
      <c r="D50" s="8"/>
      <c r="E50" s="8"/>
      <c r="F50" s="8"/>
      <c r="G50" s="8"/>
      <c r="H50" s="8"/>
      <c r="I50" s="8"/>
      <c r="J50" s="8"/>
      <c r="K50" s="8"/>
      <c r="L50" s="8"/>
      <c r="M50" s="8"/>
    </row>
    <row r="51" spans="1:13">
      <c r="A51" s="8"/>
      <c r="B51" s="8"/>
      <c r="C51" s="8"/>
      <c r="D51" s="8"/>
      <c r="E51" s="8"/>
      <c r="F51" s="8"/>
      <c r="G51" s="8"/>
      <c r="H51" s="8"/>
      <c r="I51" s="8"/>
      <c r="J51" s="8"/>
      <c r="K51" s="8"/>
      <c r="L51" s="8"/>
      <c r="M51" s="8"/>
    </row>
    <row r="52" spans="1:13">
      <c r="A52" s="8"/>
      <c r="B52" s="8"/>
      <c r="C52" s="8"/>
      <c r="D52" s="8"/>
      <c r="E52" s="8"/>
      <c r="F52" s="8"/>
      <c r="G52" s="8"/>
      <c r="H52" s="8"/>
      <c r="I52" s="8"/>
      <c r="J52" s="8"/>
      <c r="K52" s="8"/>
      <c r="L52" s="8"/>
      <c r="M52" s="8"/>
    </row>
    <row r="53" spans="1:13">
      <c r="A53" s="8"/>
      <c r="B53" s="8"/>
      <c r="C53" s="8"/>
      <c r="D53" s="8"/>
      <c r="E53" s="8"/>
      <c r="F53" s="8"/>
      <c r="G53" s="8"/>
      <c r="H53" s="8"/>
      <c r="I53" s="8"/>
      <c r="J53" s="8"/>
      <c r="K53" s="8"/>
      <c r="L53" s="8"/>
      <c r="M53" s="8"/>
    </row>
    <row r="54" spans="1:13">
      <c r="A54" s="8"/>
      <c r="B54" s="8"/>
      <c r="C54" s="8"/>
      <c r="D54" s="8"/>
      <c r="E54" s="8"/>
      <c r="F54" s="8"/>
      <c r="G54" s="8"/>
      <c r="H54" s="8"/>
      <c r="I54" s="8"/>
      <c r="J54" s="8"/>
      <c r="K54" s="8"/>
      <c r="L54" s="8"/>
      <c r="M54" s="8"/>
    </row>
    <row r="55" spans="1:13">
      <c r="A55" s="8"/>
      <c r="B55" s="8"/>
      <c r="C55" s="8"/>
      <c r="D55" s="8"/>
      <c r="E55" s="8"/>
      <c r="F55" s="8"/>
      <c r="G55" s="8"/>
      <c r="H55" s="8"/>
      <c r="I55" s="8"/>
      <c r="J55" s="8"/>
      <c r="K55" s="8"/>
      <c r="L55" s="8"/>
      <c r="M55" s="8"/>
    </row>
    <row r="56" spans="1:13">
      <c r="A56" s="8"/>
      <c r="B56" s="8"/>
      <c r="C56" s="8"/>
      <c r="D56" s="8"/>
      <c r="E56" s="8"/>
      <c r="F56" s="8"/>
      <c r="G56" s="8"/>
      <c r="H56" s="8"/>
      <c r="I56" s="8"/>
      <c r="J56" s="8"/>
      <c r="K56" s="8"/>
      <c r="L56" s="8"/>
      <c r="M56" s="8"/>
    </row>
    <row r="57" spans="1:13">
      <c r="A57" s="8"/>
      <c r="B57" s="8"/>
      <c r="C57" s="8"/>
      <c r="D57" s="8"/>
      <c r="E57" s="8"/>
      <c r="F57" s="8"/>
      <c r="G57" s="8"/>
      <c r="H57" s="8"/>
      <c r="I57" s="8"/>
      <c r="J57" s="8"/>
      <c r="K57" s="8"/>
      <c r="L57" s="8"/>
      <c r="M57" s="8"/>
    </row>
    <row r="58" spans="1:13">
      <c r="A58" s="8"/>
      <c r="B58" s="8"/>
      <c r="C58" s="8"/>
      <c r="D58" s="8"/>
      <c r="E58" s="8"/>
      <c r="F58" s="8"/>
      <c r="G58" s="8"/>
      <c r="H58" s="8"/>
      <c r="I58" s="8"/>
      <c r="J58" s="8"/>
      <c r="K58" s="8"/>
      <c r="L58" s="8"/>
      <c r="M58" s="8"/>
    </row>
    <row r="59" spans="1:13">
      <c r="A59" s="8"/>
      <c r="B59" s="8"/>
      <c r="C59" s="8"/>
      <c r="D59" s="8"/>
      <c r="E59" s="8"/>
      <c r="F59" s="8"/>
      <c r="G59" s="8"/>
      <c r="H59" s="8"/>
      <c r="I59" s="8"/>
      <c r="J59" s="8"/>
      <c r="K59" s="8"/>
      <c r="L59" s="8"/>
      <c r="M59" s="8"/>
    </row>
    <row r="60" spans="1:13">
      <c r="A60" s="8"/>
      <c r="B60" s="8"/>
      <c r="C60" s="8"/>
      <c r="D60" s="8"/>
      <c r="E60" s="8"/>
      <c r="F60" s="8"/>
      <c r="G60" s="8"/>
      <c r="H60" s="8"/>
      <c r="I60" s="8"/>
      <c r="J60" s="8"/>
      <c r="K60" s="8"/>
      <c r="L60" s="8"/>
      <c r="M60" s="8"/>
    </row>
    <row r="61" spans="1:13">
      <c r="A61" s="8"/>
      <c r="B61" s="8"/>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row r="64" spans="1:13">
      <c r="A64" s="8"/>
      <c r="B64" s="8"/>
      <c r="C64" s="8"/>
      <c r="D64" s="8"/>
      <c r="E64" s="8"/>
      <c r="F64" s="8"/>
      <c r="G64" s="8"/>
      <c r="H64" s="8"/>
      <c r="I64" s="8"/>
      <c r="J64" s="8"/>
      <c r="K64" s="8"/>
      <c r="L64" s="8"/>
      <c r="M64" s="8"/>
    </row>
    <row r="65" spans="1:13">
      <c r="A65" s="8"/>
      <c r="B65" s="8"/>
      <c r="C65" s="8"/>
      <c r="D65" s="8"/>
      <c r="E65" s="8"/>
      <c r="F65" s="8"/>
      <c r="G65" s="8"/>
      <c r="H65" s="8"/>
      <c r="I65" s="8"/>
      <c r="J65" s="8"/>
      <c r="K65" s="8"/>
      <c r="L65" s="8"/>
      <c r="M65" s="8"/>
    </row>
    <row r="66" spans="1:13">
      <c r="A66" s="8"/>
      <c r="B66" s="8"/>
      <c r="C66" s="8"/>
      <c r="D66" s="8"/>
      <c r="E66" s="8"/>
      <c r="F66" s="8"/>
      <c r="G66" s="8"/>
      <c r="H66" s="8"/>
      <c r="I66" s="8"/>
      <c r="J66" s="8"/>
      <c r="K66" s="8"/>
      <c r="L66" s="8"/>
      <c r="M66" s="8"/>
    </row>
    <row r="67" spans="1:13">
      <c r="A67" s="8"/>
      <c r="B67" s="8"/>
      <c r="C67" s="8"/>
      <c r="D67" s="8"/>
      <c r="E67" s="8"/>
      <c r="F67" s="8"/>
      <c r="G67" s="8"/>
      <c r="H67" s="8"/>
      <c r="I67" s="8"/>
      <c r="J67" s="8"/>
      <c r="K67" s="8"/>
      <c r="L67" s="8"/>
      <c r="M67" s="8"/>
    </row>
    <row r="68" spans="1:13">
      <c r="A68" s="8"/>
      <c r="B68" s="8"/>
      <c r="C68" s="8"/>
      <c r="D68" s="8"/>
      <c r="E68" s="8"/>
      <c r="F68" s="8"/>
      <c r="G68" s="8"/>
      <c r="H68" s="8"/>
      <c r="I68" s="8"/>
      <c r="J68" s="8"/>
      <c r="K68" s="8"/>
      <c r="L68" s="8"/>
      <c r="M68" s="8"/>
    </row>
  </sheetData>
  <sheetProtection algorithmName="SHA-512" hashValue="JAkpiisJH0MfPZHyv93auWTLk7LsYkN+yPPWhea4NJWNt7RD9q+ExC+4knu39T0B6g/WCNl7txfQ09/BrYs3Kg==" saltValue="BVFMLlsY1JROj4USooqCnA==" spinCount="100000" sheet="1" objects="1" scenarios="1"/>
  <mergeCells count="19">
    <mergeCell ref="B24:D24"/>
    <mergeCell ref="B25:D25"/>
    <mergeCell ref="B26:D26"/>
    <mergeCell ref="B27:D27"/>
    <mergeCell ref="B19:D19"/>
    <mergeCell ref="B20:D20"/>
    <mergeCell ref="B21:D21"/>
    <mergeCell ref="B22:D22"/>
    <mergeCell ref="B23:D23"/>
    <mergeCell ref="B14:D14"/>
    <mergeCell ref="B15:D15"/>
    <mergeCell ref="B16:D16"/>
    <mergeCell ref="B17:D17"/>
    <mergeCell ref="B18:D18"/>
    <mergeCell ref="B9:E9"/>
    <mergeCell ref="B10:D10"/>
    <mergeCell ref="B11:D11"/>
    <mergeCell ref="B12:D12"/>
    <mergeCell ref="B13:D13"/>
  </mergeCells>
  <conditionalFormatting sqref="E1">
    <cfRule type="expression" dxfId="16" priority="1" stopIfTrue="1">
      <formula>MOD(ROW(),2)=0</formula>
    </cfRule>
  </conditionalFormatting>
  <dataValidations count="1">
    <dataValidation allowBlank="1" showInputMessage="1" showErrorMessage="1" prompt="You may change any of the job titles." sqref="B10:B27"/>
  </dataValidations>
  <hyperlinks>
    <hyperlink ref="E1" location="HypLink1" display="HypLink1"/>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AD78"/>
  <sheetViews>
    <sheetView showGridLines="0" zoomScale="115" zoomScaleNormal="115" workbookViewId="0">
      <selection activeCell="B65" sqref="B65"/>
    </sheetView>
  </sheetViews>
  <sheetFormatPr defaultColWidth="8.85546875" defaultRowHeight="15"/>
  <cols>
    <col min="1" max="1" width="6.7109375" style="80" bestFit="1" customWidth="1"/>
    <col min="2" max="2" width="47.85546875" style="80" customWidth="1"/>
    <col min="3" max="3" width="10.28515625" style="80" customWidth="1"/>
    <col min="4" max="4" width="14.5703125" style="84" customWidth="1"/>
    <col min="5" max="5" width="20.85546875" style="84" customWidth="1"/>
    <col min="6" max="6" width="13.42578125" style="84" customWidth="1"/>
    <col min="7" max="7" width="12.5703125" style="80" customWidth="1"/>
    <col min="8" max="8" width="12.7109375" style="80" customWidth="1"/>
    <col min="9" max="9" width="12" style="80" customWidth="1"/>
    <col min="10" max="10" width="14" style="80" customWidth="1"/>
    <col min="11" max="11" width="14.7109375" style="80" customWidth="1"/>
    <col min="12" max="12" width="3.140625" style="80" customWidth="1"/>
    <col min="13" max="13" width="61.85546875" style="80" customWidth="1"/>
    <col min="14" max="16384" width="8.85546875" style="80"/>
  </cols>
  <sheetData>
    <row r="1" spans="1:30" ht="18">
      <c r="A1" s="405" t="s">
        <v>839</v>
      </c>
      <c r="B1" s="45"/>
      <c r="C1" s="640" t="s">
        <v>2</v>
      </c>
      <c r="D1" s="301" t="s">
        <v>840</v>
      </c>
      <c r="E1" s="46"/>
      <c r="F1" s="46"/>
      <c r="G1" s="58"/>
      <c r="H1" s="58"/>
      <c r="I1" s="60"/>
      <c r="J1" s="60"/>
      <c r="K1" s="60"/>
      <c r="L1" s="106"/>
      <c r="M1" s="106"/>
    </row>
    <row r="2" spans="1:30" ht="15.75">
      <c r="A2" s="187" t="str">
        <f>SchoolName</f>
        <v>Strong Start Academy Elementary School</v>
      </c>
      <c r="B2" s="49"/>
      <c r="C2" s="42"/>
      <c r="D2" s="301" t="s">
        <v>841</v>
      </c>
      <c r="E2" s="46"/>
      <c r="F2" s="46"/>
      <c r="G2" s="58"/>
      <c r="H2" s="58"/>
      <c r="I2" s="406"/>
      <c r="J2" s="406"/>
      <c r="K2" s="234"/>
      <c r="L2" s="235"/>
      <c r="M2" s="235"/>
    </row>
    <row r="3" spans="1:30">
      <c r="A3" s="50" t="s">
        <v>62</v>
      </c>
      <c r="B3" s="42"/>
      <c r="C3" s="42"/>
      <c r="D3" s="407" t="s">
        <v>842</v>
      </c>
      <c r="E3" s="46"/>
      <c r="F3" s="46"/>
      <c r="G3" s="58"/>
      <c r="H3" s="58"/>
      <c r="I3" s="408"/>
      <c r="J3" s="408"/>
      <c r="K3" s="234"/>
      <c r="L3" s="235"/>
      <c r="M3" s="235"/>
    </row>
    <row r="4" spans="1:30">
      <c r="A4" s="51" t="s">
        <v>63</v>
      </c>
      <c r="B4" s="42"/>
      <c r="C4" s="42"/>
      <c r="D4" s="301" t="s">
        <v>843</v>
      </c>
      <c r="E4" s="46"/>
      <c r="F4" s="46"/>
      <c r="G4" s="58"/>
      <c r="H4" s="58"/>
      <c r="I4" s="60"/>
      <c r="J4" s="60"/>
      <c r="K4" s="60"/>
      <c r="L4" s="106"/>
      <c r="M4" s="106"/>
    </row>
    <row r="5" spans="1:30">
      <c r="A5" s="38" t="str">
        <f ca="1">CELL("filename")</f>
        <v>C:\Users\rsaucedo\OneDrive - City of Las Vegas\CLV Charter School\[Strong Start Academy Elementary School Financial Workbook 2021.xlsx]Incubation</v>
      </c>
      <c r="B5" s="42"/>
      <c r="C5" s="42"/>
      <c r="D5" s="46"/>
      <c r="E5" s="46"/>
      <c r="F5" s="46"/>
      <c r="G5" s="58"/>
      <c r="H5" s="58"/>
      <c r="I5" s="406"/>
      <c r="J5" s="406"/>
      <c r="K5" s="234"/>
      <c r="L5" s="235"/>
      <c r="M5" s="235"/>
    </row>
    <row r="6" spans="1:30">
      <c r="A6" s="409"/>
      <c r="B6" s="39" t="s">
        <v>844</v>
      </c>
      <c r="C6" s="39"/>
      <c r="D6" s="46"/>
      <c r="E6" s="46"/>
      <c r="F6" s="46"/>
      <c r="G6" s="58"/>
      <c r="H6" s="58"/>
      <c r="I6" s="58"/>
      <c r="J6" s="58"/>
      <c r="K6" s="58"/>
      <c r="L6" s="106"/>
      <c r="M6" s="106"/>
    </row>
    <row r="7" spans="1:30">
      <c r="A7" s="409"/>
      <c r="B7" s="39" t="s">
        <v>845</v>
      </c>
      <c r="C7" s="410"/>
      <c r="D7" s="42"/>
      <c r="E7" s="410" t="s">
        <v>846</v>
      </c>
      <c r="F7" s="411"/>
      <c r="G7" s="42"/>
      <c r="H7" s="42"/>
      <c r="I7" s="42"/>
      <c r="J7" s="42"/>
      <c r="K7" s="42"/>
    </row>
    <row r="8" spans="1:30">
      <c r="A8" s="409"/>
      <c r="B8" s="39"/>
      <c r="C8" s="412"/>
      <c r="D8" s="42"/>
      <c r="E8" s="412" t="s">
        <v>249</v>
      </c>
      <c r="F8" s="41"/>
      <c r="G8" s="42"/>
      <c r="H8" s="42"/>
      <c r="I8" s="42"/>
      <c r="J8" s="42"/>
      <c r="K8" s="42"/>
    </row>
    <row r="9" spans="1:30">
      <c r="A9" s="755"/>
      <c r="B9" s="39"/>
      <c r="C9" s="46"/>
      <c r="D9" s="362"/>
      <c r="E9" s="1166" t="s">
        <v>827</v>
      </c>
      <c r="F9" s="1167" t="s">
        <v>734</v>
      </c>
      <c r="G9" s="1167" t="s">
        <v>735</v>
      </c>
      <c r="H9" s="1167" t="s">
        <v>736</v>
      </c>
      <c r="I9" s="1167" t="s">
        <v>737</v>
      </c>
      <c r="J9" s="1167" t="s">
        <v>738</v>
      </c>
      <c r="K9" s="1854" t="s">
        <v>739</v>
      </c>
    </row>
    <row r="10" spans="1:30" ht="15.75">
      <c r="A10" s="755"/>
      <c r="B10" s="39"/>
      <c r="C10" s="42"/>
      <c r="D10" s="456"/>
      <c r="E10" s="1168">
        <f>+F10-1</f>
        <v>2021</v>
      </c>
      <c r="F10" s="1169">
        <f>' Enrol &amp; Rev'!H10</f>
        <v>2022</v>
      </c>
      <c r="G10" s="1170">
        <f>+F11</f>
        <v>2023</v>
      </c>
      <c r="H10" s="1170">
        <f>+G11</f>
        <v>2024</v>
      </c>
      <c r="I10" s="1170">
        <f>+H11</f>
        <v>2025</v>
      </c>
      <c r="J10" s="1170">
        <f>+I11</f>
        <v>2026</v>
      </c>
      <c r="K10" s="1171">
        <f>+J11</f>
        <v>2027</v>
      </c>
    </row>
    <row r="11" spans="1:30" s="84" customFormat="1" ht="15.75">
      <c r="A11" s="755"/>
      <c r="B11" s="39"/>
      <c r="C11" s="46"/>
      <c r="D11" s="471" t="s">
        <v>123</v>
      </c>
      <c r="E11" s="1172">
        <f>+F11-1</f>
        <v>2022</v>
      </c>
      <c r="F11" s="1173">
        <f t="shared" ref="F11:K11" si="0">+F10+1</f>
        <v>2023</v>
      </c>
      <c r="G11" s="1173">
        <f t="shared" si="0"/>
        <v>2024</v>
      </c>
      <c r="H11" s="1173">
        <f t="shared" si="0"/>
        <v>2025</v>
      </c>
      <c r="I11" s="1173">
        <f t="shared" si="0"/>
        <v>2026</v>
      </c>
      <c r="J11" s="1173">
        <f t="shared" si="0"/>
        <v>2027</v>
      </c>
      <c r="K11" s="1174">
        <f t="shared" si="0"/>
        <v>2028</v>
      </c>
      <c r="M11" s="1813" t="s">
        <v>84</v>
      </c>
      <c r="N11" s="80"/>
      <c r="O11" s="80"/>
      <c r="P11" s="80"/>
      <c r="Q11" s="80"/>
      <c r="R11" s="80"/>
      <c r="S11" s="80"/>
      <c r="T11" s="80"/>
      <c r="U11" s="80"/>
      <c r="V11" s="80"/>
      <c r="W11" s="80"/>
      <c r="X11" s="80"/>
      <c r="Y11" s="80"/>
      <c r="Z11" s="80"/>
      <c r="AA11" s="80"/>
      <c r="AB11" s="80"/>
      <c r="AC11" s="80"/>
      <c r="AD11" s="80"/>
    </row>
    <row r="12" spans="1:30" s="84" customFormat="1" ht="15.75">
      <c r="A12" s="755">
        <f>ROW()</f>
        <v>12</v>
      </c>
      <c r="B12" s="1207" t="s">
        <v>420</v>
      </c>
      <c r="C12" s="1208"/>
      <c r="D12" s="1209"/>
      <c r="E12" s="879"/>
      <c r="F12" s="1007">
        <f>Market!E27</f>
        <v>180</v>
      </c>
      <c r="G12" s="1007">
        <f>Market!F27</f>
        <v>240</v>
      </c>
      <c r="H12" s="1007">
        <f>Market!G27</f>
        <v>300</v>
      </c>
      <c r="I12" s="1007">
        <f>Market!H27</f>
        <v>360</v>
      </c>
      <c r="J12" s="1007">
        <f>Market!I27</f>
        <v>360</v>
      </c>
      <c r="K12" s="1007">
        <f>Market!J27</f>
        <v>360</v>
      </c>
      <c r="M12" s="717"/>
      <c r="N12" s="80"/>
      <c r="O12" s="80"/>
      <c r="P12" s="80"/>
      <c r="Q12" s="80"/>
      <c r="R12" s="80"/>
      <c r="S12" s="80"/>
      <c r="T12" s="80"/>
      <c r="U12" s="80"/>
      <c r="V12" s="80"/>
      <c r="W12" s="80"/>
      <c r="X12" s="80"/>
      <c r="Y12" s="80"/>
      <c r="Z12" s="80"/>
      <c r="AA12" s="80"/>
      <c r="AB12" s="80"/>
      <c r="AC12" s="80"/>
      <c r="AD12" s="80"/>
    </row>
    <row r="13" spans="1:30" s="84" customFormat="1" ht="15.75">
      <c r="A13" s="1360">
        <f>ROW()</f>
        <v>13</v>
      </c>
      <c r="B13" s="801" t="s">
        <v>421</v>
      </c>
      <c r="C13" s="944"/>
      <c r="D13" s="1008">
        <f>SUM(E13:K13)</f>
        <v>19244109.325277608</v>
      </c>
      <c r="E13" s="945"/>
      <c r="F13" s="1010">
        <f>+' Enrol &amp; Rev'!H109</f>
        <v>2248562.8718250003</v>
      </c>
      <c r="G13" s="1010">
        <f>+' Enrol &amp; Rev'!I109</f>
        <v>2518203.4592864197</v>
      </c>
      <c r="H13" s="1010">
        <f>+' Enrol &amp; Rev'!J109</f>
        <v>3122001.864325976</v>
      </c>
      <c r="I13" s="1010">
        <f>+' Enrol &amp; Rev'!K109</f>
        <v>3726926.2693655328</v>
      </c>
      <c r="J13" s="1010">
        <f>+' Enrol &amp; Rev'!L109</f>
        <v>3810720.4302373398</v>
      </c>
      <c r="K13" s="1010">
        <f>+' Enrol &amp; Rev'!M109</f>
        <v>3817694.4302373398</v>
      </c>
      <c r="M13" s="541"/>
      <c r="N13" s="80"/>
      <c r="O13" s="80"/>
      <c r="P13" s="80"/>
      <c r="Q13" s="80"/>
      <c r="R13" s="80"/>
      <c r="S13" s="80"/>
      <c r="T13" s="80"/>
      <c r="U13" s="80"/>
      <c r="V13" s="80"/>
      <c r="W13" s="80"/>
      <c r="X13" s="80"/>
      <c r="Y13" s="80"/>
      <c r="Z13" s="80"/>
      <c r="AA13" s="80"/>
      <c r="AB13" s="80"/>
      <c r="AC13" s="80"/>
      <c r="AD13" s="80"/>
    </row>
    <row r="14" spans="1:30" s="84" customFormat="1" ht="15.75">
      <c r="A14" s="1360">
        <f>ROW()</f>
        <v>14</v>
      </c>
      <c r="B14" s="1013" t="s">
        <v>847</v>
      </c>
      <c r="C14" s="933"/>
      <c r="D14" s="1009">
        <f>SUM(E14:K14)</f>
        <v>17070089.782300834</v>
      </c>
      <c r="E14" s="1011">
        <f>SUM(Summary!F40:F44,Summary!F36:F38)</f>
        <v>60000</v>
      </c>
      <c r="F14" s="1012">
        <f>SUM(Summary!G40:G44,Summary!G36:G38)</f>
        <v>2083789.75</v>
      </c>
      <c r="G14" s="1012">
        <f>SUM(Summary!H40:H44,Summary!H36:H38)</f>
        <v>2361023.8554000002</v>
      </c>
      <c r="H14" s="1012">
        <f>SUM(Summary!I40:I44,Summary!I36:I38)</f>
        <v>2962969.4279209999</v>
      </c>
      <c r="I14" s="1012">
        <f>SUM(Summary!J40:J44,Summary!J36:J38)</f>
        <v>3212775.9181636847</v>
      </c>
      <c r="J14" s="1012">
        <f>SUM(Summary!K40:K44,Summary!K36:K38)</f>
        <v>3183460.5375035042</v>
      </c>
      <c r="K14" s="1012">
        <f>SUM(Summary!L40:L44,Summary!L36:L38)</f>
        <v>3206070.293312646</v>
      </c>
      <c r="M14" s="541"/>
      <c r="N14" s="80"/>
      <c r="O14" s="80"/>
      <c r="P14" s="80"/>
      <c r="Q14" s="80"/>
      <c r="R14" s="80"/>
      <c r="S14" s="80"/>
      <c r="T14" s="80"/>
      <c r="U14" s="80"/>
      <c r="V14" s="80"/>
      <c r="W14" s="80"/>
      <c r="X14" s="80"/>
      <c r="Y14" s="80"/>
      <c r="Z14" s="80"/>
      <c r="AA14" s="80"/>
      <c r="AB14" s="80"/>
      <c r="AC14" s="80"/>
      <c r="AD14" s="80"/>
    </row>
    <row r="15" spans="1:30" s="84" customFormat="1" ht="15.75">
      <c r="A15" s="1360">
        <f>ROW()</f>
        <v>15</v>
      </c>
      <c r="B15" s="1014" t="s">
        <v>848</v>
      </c>
      <c r="C15" s="933"/>
      <c r="D15" s="1410" t="s">
        <v>849</v>
      </c>
      <c r="E15" s="1011"/>
      <c r="F15" s="1012"/>
      <c r="G15" s="1012"/>
      <c r="H15" s="1012"/>
      <c r="I15" s="1012"/>
      <c r="J15" s="1012"/>
      <c r="K15" s="1012"/>
      <c r="M15" s="541"/>
      <c r="N15" s="80"/>
      <c r="O15" s="80"/>
      <c r="P15" s="80"/>
      <c r="Q15" s="80"/>
      <c r="R15" s="80"/>
      <c r="S15" s="80"/>
      <c r="T15" s="80"/>
      <c r="U15" s="80"/>
      <c r="V15" s="80"/>
      <c r="W15" s="80"/>
      <c r="X15" s="80"/>
      <c r="Y15" s="80"/>
      <c r="Z15" s="80"/>
      <c r="AA15" s="80"/>
      <c r="AB15" s="80"/>
      <c r="AC15" s="80"/>
      <c r="AD15" s="80"/>
    </row>
    <row r="16" spans="1:30" ht="15.75">
      <c r="A16" s="1360">
        <f>ROW()</f>
        <v>16</v>
      </c>
      <c r="B16" s="1014" t="s">
        <v>850</v>
      </c>
      <c r="C16" s="431"/>
      <c r="D16" s="934"/>
      <c r="E16" s="934"/>
      <c r="F16" s="935"/>
      <c r="G16" s="936"/>
      <c r="H16" s="936"/>
      <c r="I16" s="936"/>
      <c r="J16" s="936"/>
      <c r="K16" s="936"/>
      <c r="M16" s="541"/>
    </row>
    <row r="17" spans="1:13" ht="15.75">
      <c r="A17" s="1360">
        <f>ROW()</f>
        <v>17</v>
      </c>
      <c r="B17" s="1402" t="s">
        <v>851</v>
      </c>
      <c r="C17" s="58"/>
      <c r="D17" s="1285"/>
      <c r="E17" s="1403"/>
      <c r="F17" s="954"/>
      <c r="G17" s="1404"/>
      <c r="H17" s="1404"/>
      <c r="I17" s="1404"/>
      <c r="J17" s="1404"/>
      <c r="K17" s="1404"/>
      <c r="M17" s="541"/>
    </row>
    <row r="18" spans="1:13" ht="15.75">
      <c r="A18" s="1360">
        <f>ROW()</f>
        <v>18</v>
      </c>
      <c r="B18" s="1402" t="s">
        <v>1228</v>
      </c>
      <c r="C18" s="58"/>
      <c r="D18" s="1285"/>
      <c r="E18" s="1403"/>
      <c r="F18" s="954"/>
      <c r="G18" s="1404"/>
      <c r="H18" s="1404"/>
      <c r="I18" s="1404"/>
      <c r="J18" s="1404"/>
      <c r="K18" s="1404"/>
      <c r="M18" s="541"/>
    </row>
    <row r="19" spans="1:13" ht="15.75">
      <c r="A19" s="1360">
        <f>ROW()</f>
        <v>19</v>
      </c>
      <c r="B19" s="1402" t="s">
        <v>1229</v>
      </c>
      <c r="C19" s="58"/>
      <c r="D19" s="1285"/>
      <c r="E19" s="1872" t="s">
        <v>1231</v>
      </c>
      <c r="F19" s="954"/>
      <c r="G19" s="1404"/>
      <c r="H19" s="1404"/>
      <c r="I19" s="1404"/>
      <c r="J19" s="1404"/>
      <c r="K19" s="1404"/>
      <c r="M19" s="541"/>
    </row>
    <row r="20" spans="1:13" ht="15.75">
      <c r="A20" s="1360">
        <f>ROW()</f>
        <v>20</v>
      </c>
      <c r="B20" s="1402" t="s">
        <v>852</v>
      </c>
      <c r="C20" s="58"/>
      <c r="D20" s="1285"/>
      <c r="E20" s="1403"/>
      <c r="F20" s="954"/>
      <c r="G20" s="1404"/>
      <c r="H20" s="1404"/>
      <c r="I20" s="1404"/>
      <c r="J20" s="1404"/>
      <c r="K20" s="1404"/>
      <c r="M20" s="541"/>
    </row>
    <row r="21" spans="1:13" ht="15.75">
      <c r="A21" s="1360">
        <f>ROW()</f>
        <v>21</v>
      </c>
      <c r="B21" s="1402" t="s">
        <v>1230</v>
      </c>
      <c r="C21" s="58"/>
      <c r="D21" s="1285"/>
      <c r="E21" s="1403"/>
      <c r="F21" s="954"/>
      <c r="G21" s="1404"/>
      <c r="H21" s="1404"/>
      <c r="I21" s="1404"/>
      <c r="J21" s="1404"/>
      <c r="K21" s="1404"/>
      <c r="M21" s="541"/>
    </row>
    <row r="22" spans="1:13" ht="15.75">
      <c r="A22" s="1360">
        <f>ROW()</f>
        <v>22</v>
      </c>
      <c r="B22" s="1402"/>
      <c r="C22" s="58"/>
      <c r="D22" s="418"/>
      <c r="E22" s="1403"/>
      <c r="F22" s="954"/>
      <c r="G22" s="1404"/>
      <c r="H22" s="1404"/>
      <c r="I22" s="1404"/>
      <c r="J22" s="1404"/>
      <c r="K22" s="1404"/>
      <c r="M22" s="541"/>
    </row>
    <row r="23" spans="1:13">
      <c r="A23" s="1360">
        <f>ROW()</f>
        <v>23</v>
      </c>
      <c r="B23" s="1406" t="s">
        <v>853</v>
      </c>
      <c r="C23" s="932"/>
      <c r="D23" s="513"/>
      <c r="E23" s="937"/>
      <c r="F23" s="937"/>
      <c r="G23" s="937"/>
      <c r="H23" s="937"/>
      <c r="I23" s="937"/>
      <c r="J23" s="937"/>
      <c r="K23" s="937"/>
      <c r="M23" s="541"/>
    </row>
    <row r="24" spans="1:13">
      <c r="A24" s="1360">
        <f>ROW()</f>
        <v>24</v>
      </c>
      <c r="B24" s="1405"/>
      <c r="C24" s="1292">
        <v>0</v>
      </c>
      <c r="D24" s="1293">
        <f>SUM(E24:K24)</f>
        <v>0</v>
      </c>
      <c r="E24" s="1253">
        <v>0</v>
      </c>
      <c r="F24" s="1253">
        <v>0</v>
      </c>
      <c r="G24" s="1253">
        <v>0</v>
      </c>
      <c r="H24" s="1253">
        <v>0</v>
      </c>
      <c r="I24" s="1253">
        <v>0</v>
      </c>
      <c r="J24" s="1253">
        <v>0</v>
      </c>
      <c r="K24" s="1253">
        <v>0</v>
      </c>
      <c r="M24" s="541"/>
    </row>
    <row r="25" spans="1:13">
      <c r="A25" s="1360">
        <f>ROW()</f>
        <v>25</v>
      </c>
      <c r="B25" s="1288"/>
      <c r="C25" s="807">
        <v>0</v>
      </c>
      <c r="D25" s="942">
        <f>SUM(E25:K25)</f>
        <v>0</v>
      </c>
      <c r="E25" s="939">
        <v>0</v>
      </c>
      <c r="F25" s="939">
        <v>0</v>
      </c>
      <c r="G25" s="939">
        <v>0</v>
      </c>
      <c r="H25" s="939">
        <v>0</v>
      </c>
      <c r="I25" s="939">
        <v>0</v>
      </c>
      <c r="J25" s="939">
        <v>0</v>
      </c>
      <c r="K25" s="939">
        <v>0</v>
      </c>
      <c r="M25" s="541"/>
    </row>
    <row r="26" spans="1:13">
      <c r="A26" s="1360">
        <f>ROW()</f>
        <v>26</v>
      </c>
      <c r="B26" s="480" t="s">
        <v>854</v>
      </c>
      <c r="C26" s="807"/>
      <c r="D26" s="942"/>
      <c r="E26" s="939">
        <v>0</v>
      </c>
      <c r="F26" s="939">
        <v>0</v>
      </c>
      <c r="G26" s="939">
        <v>0</v>
      </c>
      <c r="H26" s="939">
        <v>0</v>
      </c>
      <c r="I26" s="939">
        <v>0</v>
      </c>
      <c r="J26" s="939">
        <v>0</v>
      </c>
      <c r="K26" s="939">
        <v>0</v>
      </c>
      <c r="M26" s="541"/>
    </row>
    <row r="27" spans="1:13">
      <c r="A27" s="1360">
        <f>ROW()</f>
        <v>27</v>
      </c>
      <c r="B27" s="1288" t="s">
        <v>855</v>
      </c>
      <c r="C27" s="1289">
        <v>0</v>
      </c>
      <c r="D27" s="942">
        <f>SUM(E27:K27)</f>
        <v>0</v>
      </c>
      <c r="E27" s="939">
        <v>0</v>
      </c>
      <c r="F27" s="939">
        <v>0</v>
      </c>
      <c r="G27" s="939">
        <v>0</v>
      </c>
      <c r="H27" s="939">
        <v>0</v>
      </c>
      <c r="I27" s="939">
        <v>0</v>
      </c>
      <c r="J27" s="939">
        <v>0</v>
      </c>
      <c r="K27" s="939">
        <v>0</v>
      </c>
      <c r="M27" s="541"/>
    </row>
    <row r="28" spans="1:13">
      <c r="A28" s="1360">
        <f>ROW()</f>
        <v>28</v>
      </c>
      <c r="B28" s="1288" t="s">
        <v>856</v>
      </c>
      <c r="C28" s="1289">
        <v>0</v>
      </c>
      <c r="D28" s="942">
        <f>SUM(E28:K28)</f>
        <v>0</v>
      </c>
      <c r="E28" s="939">
        <v>0</v>
      </c>
      <c r="F28" s="939">
        <v>0</v>
      </c>
      <c r="G28" s="939">
        <v>0</v>
      </c>
      <c r="H28" s="939">
        <v>0</v>
      </c>
      <c r="I28" s="939">
        <v>0</v>
      </c>
      <c r="J28" s="939">
        <v>0</v>
      </c>
      <c r="K28" s="939">
        <v>0</v>
      </c>
      <c r="M28" s="541"/>
    </row>
    <row r="29" spans="1:13">
      <c r="A29" s="1360">
        <f>ROW()</f>
        <v>29</v>
      </c>
      <c r="B29" s="480" t="s">
        <v>854</v>
      </c>
      <c r="C29" s="807"/>
      <c r="D29" s="942"/>
      <c r="E29" s="939">
        <v>0</v>
      </c>
      <c r="F29" s="939">
        <v>0</v>
      </c>
      <c r="G29" s="939">
        <v>0</v>
      </c>
      <c r="H29" s="939">
        <v>0</v>
      </c>
      <c r="I29" s="939">
        <v>0</v>
      </c>
      <c r="J29" s="939">
        <v>0</v>
      </c>
      <c r="K29" s="939">
        <v>0</v>
      </c>
      <c r="M29" s="541"/>
    </row>
    <row r="30" spans="1:13">
      <c r="A30" s="1360">
        <f>ROW()</f>
        <v>30</v>
      </c>
      <c r="B30" s="1288" t="s">
        <v>857</v>
      </c>
      <c r="C30" s="1289">
        <v>0</v>
      </c>
      <c r="D30" s="942">
        <f>SUM(E30:K30)</f>
        <v>0</v>
      </c>
      <c r="E30" s="939">
        <v>0</v>
      </c>
      <c r="F30" s="939">
        <v>0</v>
      </c>
      <c r="G30" s="939">
        <v>0</v>
      </c>
      <c r="H30" s="939">
        <v>0</v>
      </c>
      <c r="I30" s="939">
        <v>0</v>
      </c>
      <c r="J30" s="939">
        <v>0</v>
      </c>
      <c r="K30" s="939">
        <v>0</v>
      </c>
      <c r="M30" s="541"/>
    </row>
    <row r="31" spans="1:13">
      <c r="A31" s="1360">
        <f>ROW()</f>
        <v>31</v>
      </c>
      <c r="B31" s="1288" t="s">
        <v>856</v>
      </c>
      <c r="C31" s="1289">
        <v>0</v>
      </c>
      <c r="D31" s="942">
        <f>SUM(E31:K31)</f>
        <v>0</v>
      </c>
      <c r="E31" s="939">
        <v>0</v>
      </c>
      <c r="F31" s="939">
        <v>0</v>
      </c>
      <c r="G31" s="939">
        <v>0</v>
      </c>
      <c r="H31" s="939">
        <v>0</v>
      </c>
      <c r="I31" s="939">
        <v>0</v>
      </c>
      <c r="J31" s="939">
        <v>0</v>
      </c>
      <c r="K31" s="939">
        <v>0</v>
      </c>
      <c r="M31" s="541"/>
    </row>
    <row r="32" spans="1:13">
      <c r="A32" s="1360">
        <f>ROW()</f>
        <v>32</v>
      </c>
      <c r="B32" s="480" t="s">
        <v>854</v>
      </c>
      <c r="C32" s="1289"/>
      <c r="D32" s="942"/>
      <c r="E32" s="939">
        <v>0</v>
      </c>
      <c r="F32" s="939">
        <v>0</v>
      </c>
      <c r="G32" s="939">
        <v>0</v>
      </c>
      <c r="H32" s="939">
        <v>0</v>
      </c>
      <c r="I32" s="939">
        <v>0</v>
      </c>
      <c r="J32" s="939">
        <v>0</v>
      </c>
      <c r="K32" s="939">
        <v>0</v>
      </c>
      <c r="M32" s="541"/>
    </row>
    <row r="33" spans="1:13">
      <c r="A33" s="1360">
        <f>ROW()</f>
        <v>33</v>
      </c>
      <c r="B33" s="1288" t="s">
        <v>858</v>
      </c>
      <c r="C33" s="1289">
        <v>0</v>
      </c>
      <c r="D33" s="942">
        <f>SUM(E33:K33)</f>
        <v>0</v>
      </c>
      <c r="E33" s="939">
        <v>0</v>
      </c>
      <c r="F33" s="939">
        <v>0</v>
      </c>
      <c r="G33" s="939">
        <v>0</v>
      </c>
      <c r="H33" s="939">
        <v>0</v>
      </c>
      <c r="I33" s="939">
        <v>0</v>
      </c>
      <c r="J33" s="939">
        <v>0</v>
      </c>
      <c r="K33" s="939">
        <v>0</v>
      </c>
      <c r="M33" s="541"/>
    </row>
    <row r="34" spans="1:13">
      <c r="A34" s="1360">
        <f>ROW()</f>
        <v>34</v>
      </c>
      <c r="B34" s="1288" t="s">
        <v>859</v>
      </c>
      <c r="C34" s="1289">
        <v>0</v>
      </c>
      <c r="D34" s="942">
        <f>SUM(E34:K34)</f>
        <v>0</v>
      </c>
      <c r="E34" s="939">
        <v>0</v>
      </c>
      <c r="F34" s="939">
        <v>0</v>
      </c>
      <c r="G34" s="939">
        <v>0</v>
      </c>
      <c r="H34" s="939">
        <v>0</v>
      </c>
      <c r="I34" s="939">
        <v>0</v>
      </c>
      <c r="J34" s="939">
        <v>0</v>
      </c>
      <c r="K34" s="939">
        <v>0</v>
      </c>
      <c r="M34" s="541"/>
    </row>
    <row r="35" spans="1:13">
      <c r="A35" s="1360">
        <f>ROW()</f>
        <v>35</v>
      </c>
      <c r="B35" s="480" t="s">
        <v>854</v>
      </c>
      <c r="C35" s="1289"/>
      <c r="D35" s="942"/>
      <c r="E35" s="939">
        <v>0</v>
      </c>
      <c r="F35" s="939">
        <v>0</v>
      </c>
      <c r="G35" s="939">
        <v>0</v>
      </c>
      <c r="H35" s="939">
        <v>0</v>
      </c>
      <c r="I35" s="939">
        <v>0</v>
      </c>
      <c r="J35" s="939">
        <v>0</v>
      </c>
      <c r="K35" s="939">
        <v>0</v>
      </c>
      <c r="M35" s="541"/>
    </row>
    <row r="36" spans="1:13">
      <c r="A36" s="1360">
        <f>ROW()</f>
        <v>36</v>
      </c>
      <c r="B36" s="1288" t="s">
        <v>860</v>
      </c>
      <c r="C36" s="1289"/>
      <c r="D36" s="942"/>
      <c r="E36" s="939">
        <v>0</v>
      </c>
      <c r="F36" s="939">
        <v>0</v>
      </c>
      <c r="G36" s="939">
        <v>0</v>
      </c>
      <c r="H36" s="939">
        <v>0</v>
      </c>
      <c r="I36" s="939">
        <v>0</v>
      </c>
      <c r="J36" s="939">
        <v>0</v>
      </c>
      <c r="K36" s="939">
        <v>0</v>
      </c>
      <c r="M36" s="541"/>
    </row>
    <row r="37" spans="1:13">
      <c r="A37" s="1360">
        <f>ROW()</f>
        <v>37</v>
      </c>
      <c r="B37" s="1290" t="s">
        <v>860</v>
      </c>
      <c r="C37" s="1291"/>
      <c r="D37" s="943">
        <f>SUM(E37:K37)</f>
        <v>0</v>
      </c>
      <c r="E37" s="940">
        <v>0</v>
      </c>
      <c r="F37" s="940">
        <v>0</v>
      </c>
      <c r="G37" s="940">
        <v>0</v>
      </c>
      <c r="H37" s="940">
        <v>0</v>
      </c>
      <c r="I37" s="940">
        <v>0</v>
      </c>
      <c r="J37" s="940">
        <v>0</v>
      </c>
      <c r="K37" s="940">
        <v>0</v>
      </c>
      <c r="M37" s="541"/>
    </row>
    <row r="38" spans="1:13">
      <c r="A38" s="1360">
        <f>ROW()</f>
        <v>38</v>
      </c>
      <c r="B38" s="416"/>
      <c r="C38" s="417"/>
      <c r="D38" s="941">
        <f>SUM(E38:K38)</f>
        <v>0</v>
      </c>
      <c r="E38" s="941">
        <f t="shared" ref="E38:K38" si="1">SUM(E24:E37)</f>
        <v>0</v>
      </c>
      <c r="F38" s="941">
        <f t="shared" si="1"/>
        <v>0</v>
      </c>
      <c r="G38" s="941">
        <f t="shared" si="1"/>
        <v>0</v>
      </c>
      <c r="H38" s="941">
        <f t="shared" si="1"/>
        <v>0</v>
      </c>
      <c r="I38" s="941">
        <f t="shared" si="1"/>
        <v>0</v>
      </c>
      <c r="J38" s="941">
        <f t="shared" si="1"/>
        <v>0</v>
      </c>
      <c r="K38" s="941">
        <f t="shared" si="1"/>
        <v>0</v>
      </c>
      <c r="M38" s="541"/>
    </row>
    <row r="39" spans="1:13">
      <c r="A39" s="1360">
        <f>ROW()</f>
        <v>39</v>
      </c>
      <c r="B39" s="517" t="s">
        <v>861</v>
      </c>
      <c r="C39" s="58"/>
      <c r="D39" s="58"/>
      <c r="E39" s="58"/>
      <c r="F39" s="417"/>
      <c r="G39" s="415"/>
      <c r="H39" s="418"/>
      <c r="I39" s="419"/>
      <c r="J39" s="419"/>
      <c r="K39" s="419"/>
      <c r="L39" s="233"/>
      <c r="M39" s="541"/>
    </row>
    <row r="40" spans="1:13">
      <c r="A40" s="1360">
        <f>ROW()</f>
        <v>40</v>
      </c>
      <c r="B40" s="517" t="s">
        <v>862</v>
      </c>
      <c r="C40" s="58"/>
      <c r="D40" s="58"/>
      <c r="E40" s="58"/>
      <c r="F40" s="417"/>
      <c r="G40" s="415"/>
      <c r="H40" s="418"/>
      <c r="I40" s="419"/>
      <c r="J40" s="419"/>
      <c r="K40" s="419"/>
      <c r="L40" s="233"/>
      <c r="M40" s="541"/>
    </row>
    <row r="41" spans="1:13">
      <c r="A41" s="1360">
        <f>ROW()</f>
        <v>41</v>
      </c>
      <c r="B41" s="517"/>
      <c r="C41" s="58"/>
      <c r="D41" s="58"/>
      <c r="E41" s="58"/>
      <c r="F41" s="417"/>
      <c r="G41" s="415"/>
      <c r="H41" s="418"/>
      <c r="I41" s="419"/>
      <c r="J41" s="419"/>
      <c r="K41" s="419"/>
      <c r="L41" s="233"/>
      <c r="M41" s="541"/>
    </row>
    <row r="42" spans="1:13">
      <c r="A42" s="1360">
        <f>ROW()</f>
        <v>42</v>
      </c>
      <c r="B42" s="517"/>
      <c r="C42" s="58"/>
      <c r="D42" s="58"/>
      <c r="E42" s="58"/>
      <c r="F42" s="417"/>
      <c r="G42" s="415"/>
      <c r="H42" s="418"/>
      <c r="I42" s="419"/>
      <c r="J42" s="419"/>
      <c r="K42" s="419"/>
      <c r="L42" s="233"/>
      <c r="M42" s="541"/>
    </row>
    <row r="43" spans="1:13">
      <c r="A43" s="1360">
        <f>ROW()</f>
        <v>43</v>
      </c>
      <c r="B43" s="517"/>
      <c r="C43" s="58"/>
      <c r="D43" s="1905" t="s">
        <v>863</v>
      </c>
      <c r="E43" s="1906"/>
      <c r="F43" s="1907"/>
      <c r="G43" s="415"/>
      <c r="H43" s="1905" t="s">
        <v>864</v>
      </c>
      <c r="I43" s="1906"/>
      <c r="J43" s="1907"/>
      <c r="K43" s="419"/>
      <c r="L43" s="233"/>
      <c r="M43" s="541"/>
    </row>
    <row r="44" spans="1:13">
      <c r="A44" s="1360">
        <f>ROW()</f>
        <v>44</v>
      </c>
      <c r="B44" s="518"/>
      <c r="D44" s="77" t="s">
        <v>865</v>
      </c>
      <c r="E44" s="519" t="s">
        <v>866</v>
      </c>
      <c r="F44" s="77" t="s">
        <v>789</v>
      </c>
      <c r="G44" s="415"/>
      <c r="H44" s="77" t="s">
        <v>865</v>
      </c>
      <c r="I44" s="519" t="s">
        <v>866</v>
      </c>
      <c r="J44" s="77" t="s">
        <v>789</v>
      </c>
      <c r="K44" s="419"/>
      <c r="L44" s="233"/>
      <c r="M44" s="541"/>
    </row>
    <row r="45" spans="1:13">
      <c r="A45" s="1360">
        <f>ROW()</f>
        <v>45</v>
      </c>
      <c r="B45" s="518"/>
      <c r="D45" s="77" t="s">
        <v>867</v>
      </c>
      <c r="E45" s="77" t="s">
        <v>868</v>
      </c>
      <c r="F45" s="77" t="s">
        <v>869</v>
      </c>
      <c r="G45" s="415"/>
      <c r="H45" s="77" t="s">
        <v>867</v>
      </c>
      <c r="I45" s="77" t="s">
        <v>868</v>
      </c>
      <c r="J45" s="77" t="s">
        <v>869</v>
      </c>
      <c r="K45" s="419"/>
      <c r="L45" s="233"/>
      <c r="M45" s="541"/>
    </row>
    <row r="46" spans="1:13" ht="15.75">
      <c r="A46" s="1360">
        <f>ROW()</f>
        <v>46</v>
      </c>
      <c r="B46" s="520" t="s">
        <v>870</v>
      </c>
      <c r="C46" s="100"/>
      <c r="D46" s="99" t="s">
        <v>871</v>
      </c>
      <c r="E46" s="99" t="s">
        <v>871</v>
      </c>
      <c r="F46" s="99" t="s">
        <v>871</v>
      </c>
      <c r="G46" s="415"/>
      <c r="H46" s="99" t="s">
        <v>871</v>
      </c>
      <c r="I46" s="99" t="s">
        <v>871</v>
      </c>
      <c r="J46" s="99" t="s">
        <v>871</v>
      </c>
      <c r="K46" s="419"/>
      <c r="L46" s="233"/>
      <c r="M46" s="541"/>
    </row>
    <row r="47" spans="1:13" ht="30">
      <c r="A47" s="1360">
        <f>ROW()</f>
        <v>47</v>
      </c>
      <c r="B47" s="521" t="s">
        <v>872</v>
      </c>
      <c r="C47" s="522"/>
      <c r="D47" s="1361"/>
      <c r="E47" s="1361"/>
      <c r="F47" s="1362"/>
      <c r="G47" s="415"/>
      <c r="H47" s="1396"/>
      <c r="I47" s="1397"/>
      <c r="J47" s="1362"/>
      <c r="K47" s="419"/>
      <c r="L47" s="419"/>
      <c r="M47" s="541"/>
    </row>
    <row r="48" spans="1:13">
      <c r="A48" s="1360">
        <f>ROW()</f>
        <v>48</v>
      </c>
      <c r="B48" s="521" t="s">
        <v>873</v>
      </c>
      <c r="C48" s="522"/>
      <c r="D48" s="1361"/>
      <c r="E48" s="1361"/>
      <c r="F48" s="426"/>
      <c r="G48" s="415"/>
      <c r="H48" s="1398"/>
      <c r="I48" s="1361"/>
      <c r="J48" s="426"/>
      <c r="K48" s="419"/>
      <c r="L48" s="419"/>
      <c r="M48" s="541"/>
    </row>
    <row r="49" spans="1:13">
      <c r="A49" s="1360">
        <f>ROW()</f>
        <v>49</v>
      </c>
      <c r="B49" s="112" t="s">
        <v>874</v>
      </c>
      <c r="C49" s="112"/>
      <c r="D49" s="425"/>
      <c r="E49" s="425"/>
      <c r="F49" s="426"/>
      <c r="G49" s="415"/>
      <c r="H49" s="1399"/>
      <c r="I49" s="425"/>
      <c r="J49" s="426"/>
      <c r="K49" s="419"/>
      <c r="L49" s="419"/>
      <c r="M49" s="541"/>
    </row>
    <row r="50" spans="1:13">
      <c r="A50" s="1360">
        <f>ROW()</f>
        <v>50</v>
      </c>
      <c r="B50" s="112" t="s">
        <v>875</v>
      </c>
      <c r="C50" s="112"/>
      <c r="D50" s="425"/>
      <c r="E50" s="425"/>
      <c r="F50" s="426"/>
      <c r="G50" s="415"/>
      <c r="H50" s="1399"/>
      <c r="I50" s="425"/>
      <c r="J50" s="426"/>
      <c r="K50" s="419"/>
      <c r="L50" s="419"/>
      <c r="M50" s="541"/>
    </row>
    <row r="51" spans="1:13">
      <c r="A51" s="1360">
        <f>ROW()</f>
        <v>51</v>
      </c>
      <c r="B51" s="112" t="s">
        <v>876</v>
      </c>
      <c r="C51" s="112"/>
      <c r="D51" s="425"/>
      <c r="E51" s="425"/>
      <c r="F51" s="426"/>
      <c r="G51" s="415"/>
      <c r="H51" s="1399"/>
      <c r="I51" s="425"/>
      <c r="J51" s="426"/>
      <c r="K51" s="419"/>
      <c r="L51" s="419"/>
      <c r="M51" s="541"/>
    </row>
    <row r="52" spans="1:13">
      <c r="A52" s="1360">
        <f>ROW()</f>
        <v>52</v>
      </c>
      <c r="B52" s="112" t="s">
        <v>877</v>
      </c>
      <c r="C52" s="112"/>
      <c r="D52" s="425"/>
      <c r="E52" s="425"/>
      <c r="F52" s="426"/>
      <c r="G52" s="415"/>
      <c r="H52" s="1399"/>
      <c r="I52" s="425"/>
      <c r="J52" s="426"/>
      <c r="K52" s="419"/>
      <c r="L52" s="419"/>
      <c r="M52" s="541"/>
    </row>
    <row r="53" spans="1:13">
      <c r="A53" s="1360">
        <f>ROW()</f>
        <v>53</v>
      </c>
      <c r="B53" s="112" t="s">
        <v>878</v>
      </c>
      <c r="C53" s="112"/>
      <c r="D53" s="425"/>
      <c r="E53" s="425"/>
      <c r="F53" s="426"/>
      <c r="G53" s="415"/>
      <c r="H53" s="1399"/>
      <c r="I53" s="425"/>
      <c r="J53" s="426"/>
      <c r="K53" s="419"/>
      <c r="L53" s="419"/>
      <c r="M53" s="541"/>
    </row>
    <row r="54" spans="1:13">
      <c r="A54" s="1360">
        <f>ROW()</f>
        <v>54</v>
      </c>
      <c r="B54" s="112" t="s">
        <v>879</v>
      </c>
      <c r="C54" s="112"/>
      <c r="D54" s="425"/>
      <c r="E54" s="425"/>
      <c r="F54" s="426"/>
      <c r="G54" s="415"/>
      <c r="H54" s="1399"/>
      <c r="I54" s="425"/>
      <c r="J54" s="426"/>
      <c r="K54" s="419"/>
      <c r="L54" s="419"/>
      <c r="M54" s="541"/>
    </row>
    <row r="55" spans="1:13">
      <c r="A55" s="1360">
        <f>ROW()</f>
        <v>55</v>
      </c>
      <c r="B55" s="112" t="s">
        <v>880</v>
      </c>
      <c r="C55" s="112"/>
      <c r="D55" s="425"/>
      <c r="E55" s="425"/>
      <c r="F55" s="426"/>
      <c r="G55" s="415"/>
      <c r="H55" s="1399"/>
      <c r="I55" s="425"/>
      <c r="J55" s="426"/>
      <c r="K55" s="419"/>
      <c r="L55" s="419"/>
      <c r="M55" s="541"/>
    </row>
    <row r="56" spans="1:13">
      <c r="A56" s="1360">
        <f>ROW()</f>
        <v>56</v>
      </c>
      <c r="B56" s="112" t="s">
        <v>881</v>
      </c>
      <c r="C56" s="112"/>
      <c r="D56" s="425"/>
      <c r="E56" s="425"/>
      <c r="F56" s="426"/>
      <c r="G56" s="415"/>
      <c r="H56" s="1399"/>
      <c r="I56" s="425"/>
      <c r="J56" s="426"/>
      <c r="K56" s="419"/>
      <c r="L56" s="419"/>
      <c r="M56" s="541"/>
    </row>
    <row r="57" spans="1:13">
      <c r="A57" s="1360">
        <f>ROW()</f>
        <v>57</v>
      </c>
      <c r="B57" s="112" t="s">
        <v>882</v>
      </c>
      <c r="C57" s="112"/>
      <c r="D57" s="425"/>
      <c r="E57" s="425"/>
      <c r="F57" s="426"/>
      <c r="G57" s="415"/>
      <c r="H57" s="1399"/>
      <c r="I57" s="425"/>
      <c r="J57" s="426"/>
      <c r="K57" s="419"/>
      <c r="L57" s="419"/>
      <c r="M57" s="541"/>
    </row>
    <row r="58" spans="1:13">
      <c r="A58" s="1360">
        <f>ROW()</f>
        <v>58</v>
      </c>
      <c r="B58" s="112" t="s">
        <v>883</v>
      </c>
      <c r="C58" s="112"/>
      <c r="D58" s="425"/>
      <c r="E58" s="425"/>
      <c r="F58" s="426"/>
      <c r="G58" s="415"/>
      <c r="H58" s="1399"/>
      <c r="I58" s="425"/>
      <c r="J58" s="426"/>
      <c r="K58" s="419"/>
      <c r="L58" s="419"/>
      <c r="M58" s="541"/>
    </row>
    <row r="59" spans="1:13">
      <c r="A59" s="1360">
        <f>ROW()</f>
        <v>59</v>
      </c>
      <c r="B59" s="112" t="s">
        <v>884</v>
      </c>
      <c r="C59" s="112"/>
      <c r="D59" s="425"/>
      <c r="E59" s="425"/>
      <c r="F59" s="426"/>
      <c r="G59" s="415"/>
      <c r="H59" s="1399"/>
      <c r="I59" s="425"/>
      <c r="J59" s="426"/>
      <c r="K59" s="419"/>
      <c r="L59" s="419"/>
      <c r="M59" s="541"/>
    </row>
    <row r="60" spans="1:13">
      <c r="A60" s="1360">
        <f>ROW()</f>
        <v>60</v>
      </c>
      <c r="B60" s="112" t="s">
        <v>885</v>
      </c>
      <c r="C60" s="112"/>
      <c r="D60" s="425"/>
      <c r="E60" s="425"/>
      <c r="F60" s="426"/>
      <c r="G60" s="415"/>
      <c r="H60" s="1399"/>
      <c r="I60" s="425"/>
      <c r="J60" s="426"/>
      <c r="K60" s="419"/>
      <c r="L60" s="419"/>
      <c r="M60" s="541"/>
    </row>
    <row r="61" spans="1:13">
      <c r="A61" s="1360">
        <f>ROW()</f>
        <v>61</v>
      </c>
      <c r="B61" s="112" t="s">
        <v>886</v>
      </c>
      <c r="C61" s="112"/>
      <c r="D61" s="425"/>
      <c r="E61" s="425"/>
      <c r="F61" s="426"/>
      <c r="G61" s="415"/>
      <c r="H61" s="1399"/>
      <c r="I61" s="425"/>
      <c r="J61" s="426"/>
      <c r="K61" s="419"/>
      <c r="L61" s="419"/>
      <c r="M61" s="541"/>
    </row>
    <row r="62" spans="1:13">
      <c r="A62" s="1360">
        <f>ROW()</f>
        <v>62</v>
      </c>
      <c r="B62" s="112" t="s">
        <v>887</v>
      </c>
      <c r="C62" s="112"/>
      <c r="D62" s="425"/>
      <c r="E62" s="425"/>
      <c r="F62" s="426"/>
      <c r="G62" s="415"/>
      <c r="H62" s="1399"/>
      <c r="I62" s="425"/>
      <c r="J62" s="426"/>
      <c r="K62" s="419"/>
      <c r="L62" s="419"/>
      <c r="M62" s="541"/>
    </row>
    <row r="63" spans="1:13">
      <c r="A63" s="1360">
        <f>ROW()</f>
        <v>63</v>
      </c>
      <c r="B63" s="112" t="s">
        <v>888</v>
      </c>
      <c r="C63" s="112"/>
      <c r="D63" s="425"/>
      <c r="E63" s="425"/>
      <c r="F63" s="426"/>
      <c r="G63" s="415"/>
      <c r="H63" s="1399"/>
      <c r="I63" s="425"/>
      <c r="J63" s="426"/>
      <c r="K63" s="419"/>
      <c r="L63" s="419"/>
      <c r="M63" s="541"/>
    </row>
    <row r="64" spans="1:13">
      <c r="A64" s="1360">
        <f>ROW()</f>
        <v>64</v>
      </c>
      <c r="B64" s="112" t="s">
        <v>889</v>
      </c>
      <c r="C64" s="112"/>
      <c r="D64" s="425"/>
      <c r="E64" s="425"/>
      <c r="F64" s="426"/>
      <c r="G64" s="415"/>
      <c r="H64" s="1399"/>
      <c r="I64" s="425"/>
      <c r="J64" s="426"/>
      <c r="K64" s="419"/>
      <c r="L64" s="419"/>
      <c r="M64" s="541"/>
    </row>
    <row r="65" spans="1:13">
      <c r="A65" s="1360">
        <f>ROW()</f>
        <v>65</v>
      </c>
      <c r="B65" s="112" t="s">
        <v>890</v>
      </c>
      <c r="C65" s="112"/>
      <c r="D65" s="425"/>
      <c r="E65" s="425"/>
      <c r="F65" s="426"/>
      <c r="G65" s="415"/>
      <c r="H65" s="1399"/>
      <c r="I65" s="425"/>
      <c r="J65" s="426"/>
      <c r="K65" s="419"/>
      <c r="L65" s="419"/>
      <c r="M65" s="541"/>
    </row>
    <row r="66" spans="1:13">
      <c r="A66" s="1360">
        <f>ROW()</f>
        <v>66</v>
      </c>
      <c r="B66" s="112" t="s">
        <v>891</v>
      </c>
      <c r="C66" s="112"/>
      <c r="D66" s="425"/>
      <c r="E66" s="425"/>
      <c r="F66" s="426"/>
      <c r="G66" s="415"/>
      <c r="H66" s="1399"/>
      <c r="I66" s="425"/>
      <c r="J66" s="426"/>
      <c r="K66" s="419"/>
      <c r="L66" s="419"/>
      <c r="M66" s="541"/>
    </row>
    <row r="67" spans="1:13">
      <c r="A67" s="1360">
        <f>ROW()</f>
        <v>67</v>
      </c>
      <c r="B67" s="112" t="s">
        <v>892</v>
      </c>
      <c r="C67" s="112"/>
      <c r="D67" s="425"/>
      <c r="E67" s="425"/>
      <c r="F67" s="426"/>
      <c r="G67" s="415"/>
      <c r="H67" s="1399"/>
      <c r="I67" s="425"/>
      <c r="J67" s="426"/>
      <c r="K67" s="419"/>
      <c r="L67" s="419"/>
      <c r="M67" s="541"/>
    </row>
    <row r="68" spans="1:13">
      <c r="A68" s="1360">
        <f>ROW()</f>
        <v>68</v>
      </c>
      <c r="B68" s="112" t="s">
        <v>893</v>
      </c>
      <c r="C68" s="112"/>
      <c r="D68" s="425"/>
      <c r="E68" s="425"/>
      <c r="F68" s="426"/>
      <c r="G68" s="415"/>
      <c r="H68" s="1399"/>
      <c r="I68" s="425"/>
      <c r="J68" s="426"/>
      <c r="K68" s="419"/>
      <c r="L68" s="419"/>
      <c r="M68" s="541"/>
    </row>
    <row r="69" spans="1:13">
      <c r="A69" s="1360">
        <f>ROW()</f>
        <v>69</v>
      </c>
      <c r="B69" s="112" t="s">
        <v>894</v>
      </c>
      <c r="C69" s="112"/>
      <c r="D69" s="425"/>
      <c r="E69" s="425"/>
      <c r="F69" s="426"/>
      <c r="G69" s="415"/>
      <c r="H69" s="1399"/>
      <c r="I69" s="425"/>
      <c r="J69" s="426"/>
      <c r="K69" s="419"/>
      <c r="L69" s="419"/>
      <c r="M69" s="541"/>
    </row>
    <row r="70" spans="1:13">
      <c r="A70" s="1360">
        <f>ROW()</f>
        <v>70</v>
      </c>
      <c r="B70" s="112" t="s">
        <v>895</v>
      </c>
      <c r="C70" s="112"/>
      <c r="D70" s="425"/>
      <c r="E70" s="425"/>
      <c r="F70" s="426"/>
      <c r="G70" s="415"/>
      <c r="H70" s="1399"/>
      <c r="I70" s="425"/>
      <c r="J70" s="426"/>
      <c r="K70" s="419"/>
      <c r="L70" s="419"/>
      <c r="M70" s="541"/>
    </row>
    <row r="71" spans="1:13">
      <c r="A71" s="1360">
        <f>ROW()</f>
        <v>71</v>
      </c>
      <c r="B71" s="112" t="s">
        <v>140</v>
      </c>
      <c r="C71" s="112"/>
      <c r="D71" s="425"/>
      <c r="E71" s="425"/>
      <c r="F71" s="1363"/>
      <c r="G71" s="415"/>
      <c r="H71" s="1399"/>
      <c r="I71" s="425"/>
      <c r="J71" s="1363"/>
      <c r="K71" s="419"/>
      <c r="L71" s="419"/>
      <c r="M71" s="541"/>
    </row>
    <row r="72" spans="1:13">
      <c r="A72" s="1360">
        <f>ROW()</f>
        <v>72</v>
      </c>
      <c r="B72" s="1816" t="s">
        <v>896</v>
      </c>
      <c r="C72" s="1816"/>
      <c r="D72" s="425"/>
      <c r="E72" s="425"/>
      <c r="F72" s="1363"/>
      <c r="G72" s="415"/>
      <c r="H72" s="1399"/>
      <c r="I72" s="425"/>
      <c r="J72" s="1363"/>
      <c r="K72" s="419"/>
      <c r="L72" s="419"/>
      <c r="M72" s="541"/>
    </row>
    <row r="73" spans="1:13">
      <c r="A73" s="1360">
        <f>ROW()</f>
        <v>73</v>
      </c>
      <c r="B73" s="1816" t="s">
        <v>896</v>
      </c>
      <c r="C73" s="1816"/>
      <c r="D73" s="425"/>
      <c r="E73" s="425"/>
      <c r="F73" s="1363"/>
      <c r="G73" s="415"/>
      <c r="H73" s="1399"/>
      <c r="I73" s="425"/>
      <c r="J73" s="1363"/>
      <c r="K73" s="419"/>
      <c r="L73" s="419"/>
      <c r="M73" s="541"/>
    </row>
    <row r="74" spans="1:13">
      <c r="A74" s="1360">
        <f>ROW()</f>
        <v>74</v>
      </c>
      <c r="B74" s="1816" t="s">
        <v>896</v>
      </c>
      <c r="C74" s="1816"/>
      <c r="D74" s="425"/>
      <c r="E74" s="425"/>
      <c r="F74" s="1364"/>
      <c r="G74" s="415"/>
      <c r="H74" s="1400"/>
      <c r="I74" s="1401"/>
      <c r="J74" s="1364"/>
      <c r="K74" s="419"/>
      <c r="L74" s="419"/>
      <c r="M74" s="541"/>
    </row>
    <row r="75" spans="1:13">
      <c r="A75" s="1360">
        <f>ROW()</f>
        <v>75</v>
      </c>
      <c r="B75" s="1855" t="s">
        <v>897</v>
      </c>
      <c r="C75" s="1856"/>
      <c r="D75" s="1857"/>
      <c r="E75" s="1857"/>
      <c r="F75" s="1857"/>
      <c r="G75" s="42"/>
      <c r="H75" s="42"/>
      <c r="I75" s="42"/>
      <c r="J75" s="42"/>
      <c r="K75" s="42"/>
      <c r="M75" s="541"/>
    </row>
    <row r="76" spans="1:13">
      <c r="A76" s="1360">
        <f>ROW()</f>
        <v>76</v>
      </c>
      <c r="B76" s="420" t="s">
        <v>898</v>
      </c>
      <c r="C76" s="52"/>
      <c r="D76" s="421"/>
      <c r="E76" s="64"/>
      <c r="F76" s="64"/>
      <c r="G76" s="64"/>
      <c r="H76" s="421"/>
      <c r="I76" s="421"/>
      <c r="J76" s="421"/>
      <c r="K76" s="421"/>
      <c r="L76" s="117"/>
      <c r="M76" s="541"/>
    </row>
    <row r="77" spans="1:13">
      <c r="A77" s="1360">
        <f>ROW()</f>
        <v>77</v>
      </c>
      <c r="B77" s="420" t="s">
        <v>899</v>
      </c>
      <c r="C77" s="52"/>
      <c r="D77" s="52"/>
      <c r="E77" s="422"/>
      <c r="F77" s="422"/>
      <c r="G77" s="422"/>
      <c r="H77" s="422"/>
      <c r="I77" s="422"/>
      <c r="J77" s="422"/>
      <c r="K77" s="422"/>
      <c r="L77" s="119"/>
      <c r="M77" s="541"/>
    </row>
    <row r="78" spans="1:13">
      <c r="A78" s="42"/>
      <c r="B78" s="42"/>
      <c r="C78" s="42"/>
      <c r="D78" s="46"/>
      <c r="E78" s="46"/>
      <c r="F78" s="46"/>
      <c r="G78" s="42"/>
      <c r="H78" s="42"/>
      <c r="I78" s="42"/>
      <c r="J78" s="42"/>
      <c r="K78" s="42"/>
      <c r="M78" s="541"/>
    </row>
  </sheetData>
  <sheetProtection algorithmName="SHA-512" hashValue="kSQcipS4DEf1fm5B7LiBgCPLWdFCE7+BzbAWclPezAEOqN1/qFGizBvFOKPcZ91+O3zPI+X7J7SIzpqjizPCBw==" saltValue="cH9vcTUw7EpX+sXwQ4bJ+g==" spinCount="100000" sheet="1" objects="1" scenarios="1"/>
  <sortState ref="B47:B67">
    <sortCondition ref="B47:B67"/>
  </sortState>
  <mergeCells count="2">
    <mergeCell ref="D43:F43"/>
    <mergeCell ref="H43:J43"/>
  </mergeCells>
  <conditionalFormatting sqref="B56 B47:C55 B57:C71">
    <cfRule type="expression" dxfId="15" priority="4" stopIfTrue="1">
      <formula>MOD(ROW(),2)=0</formula>
    </cfRule>
  </conditionalFormatting>
  <conditionalFormatting sqref="C1">
    <cfRule type="expression" dxfId="14" priority="3" stopIfTrue="1">
      <formula>MOD(ROW(),2)=0</formula>
    </cfRule>
  </conditionalFormatting>
  <conditionalFormatting sqref="C56">
    <cfRule type="expression" dxfId="13" priority="1" stopIfTrue="1">
      <formula>MOD(ROW(),2)=0</formula>
    </cfRule>
  </conditionalFormatting>
  <conditionalFormatting sqref="D47:F74">
    <cfRule type="cellIs" dxfId="12" priority="5" stopIfTrue="1" operator="equal">
      <formula>0</formula>
    </cfRule>
  </conditionalFormatting>
  <conditionalFormatting sqref="H47:J74">
    <cfRule type="cellIs" dxfId="11" priority="6" stopIfTrue="1" operator="equal">
      <formula>0</formula>
    </cfRule>
  </conditionalFormatting>
  <conditionalFormatting sqref="D17:D21">
    <cfRule type="cellIs" dxfId="10" priority="7" stopIfTrue="1" operator="equal">
      <formula>0</formula>
    </cfRule>
  </conditionalFormatting>
  <hyperlinks>
    <hyperlink ref="C1" location="HypLink1" display="HypLink1"/>
  </hyperlinks>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3" max="11"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499984740745262"/>
  </sheetPr>
  <dimension ref="A1:AH415"/>
  <sheetViews>
    <sheetView zoomScale="160" zoomScaleNormal="160" workbookViewId="0">
      <selection activeCell="F13" sqref="F13"/>
    </sheetView>
  </sheetViews>
  <sheetFormatPr defaultColWidth="8.85546875" defaultRowHeight="15" outlineLevelRow="2" outlineLevelCol="3"/>
  <cols>
    <col min="1" max="1" width="5.5703125" style="5" customWidth="1"/>
    <col min="2" max="2" width="18.85546875" customWidth="1" outlineLevel="1"/>
    <col min="3" max="3" width="12.140625" customWidth="1" outlineLevel="1"/>
    <col min="4" max="4" width="14.140625" customWidth="1" outlineLevel="1"/>
    <col min="5" max="5" width="13.85546875" customWidth="1" outlineLevel="1"/>
    <col min="6" max="8" width="13.28515625" customWidth="1" outlineLevel="1"/>
    <col min="9" max="9" width="14.5703125" customWidth="1" outlineLevel="1"/>
    <col min="10" max="10" width="13.5703125" customWidth="1" outlineLevel="1"/>
    <col min="11" max="11" width="10.85546875" customWidth="1" outlineLevel="1"/>
    <col min="12" max="12" width="8.85546875" customWidth="1" outlineLevel="1"/>
    <col min="14" max="14" width="5.7109375" style="5" customWidth="1"/>
    <col min="15" max="15" width="17.7109375" style="5" hidden="1" customWidth="1" outlineLevel="1"/>
    <col min="16" max="16" width="10.7109375" style="4" hidden="1" customWidth="1" outlineLevel="2"/>
    <col min="17" max="17" width="13.85546875" style="4" hidden="1" customWidth="1" outlineLevel="2"/>
    <col min="18" max="18" width="13" style="4" hidden="1" customWidth="1" outlineLevel="2"/>
    <col min="19" max="19" width="8.7109375" style="4" hidden="1" customWidth="1" outlineLevel="1" collapsed="1"/>
    <col min="20" max="20" width="13.140625" style="5" hidden="1" customWidth="1" outlineLevel="1"/>
    <col min="21" max="21" width="13" style="5" hidden="1" customWidth="1" outlineLevel="1"/>
    <col min="22" max="22" width="10.140625" style="5" hidden="1" customWidth="1" outlineLevel="1"/>
    <col min="23" max="23" width="12.140625" style="5" hidden="1" customWidth="1" outlineLevel="1"/>
    <col min="24" max="24" width="11" style="5" hidden="1" customWidth="1" outlineLevel="1"/>
    <col min="25" max="25" width="11.85546875" style="5" hidden="1" customWidth="1" outlineLevel="1"/>
    <col min="26" max="26" width="12" style="5" hidden="1" customWidth="1" outlineLevel="3"/>
    <col min="27" max="28" width="14.28515625" style="5" hidden="1" customWidth="1" outlineLevel="3"/>
    <col min="29" max="29" width="8.85546875" style="5" hidden="1" customWidth="1" outlineLevel="1" collapsed="1"/>
    <col min="30" max="33" width="8.85546875" style="5" hidden="1" customWidth="1" outlineLevel="1"/>
    <col min="34" max="34" width="8.85546875" style="5" collapsed="1"/>
    <col min="35" max="16384" width="8.85546875" style="5"/>
  </cols>
  <sheetData>
    <row r="1" spans="1:28" ht="15.75">
      <c r="A1" s="24" t="s">
        <v>1225</v>
      </c>
      <c r="B1" s="24"/>
      <c r="O1" s="28"/>
      <c r="Q1" s="640" t="s">
        <v>2</v>
      </c>
      <c r="S1" s="5"/>
      <c r="T1" s="30"/>
      <c r="Y1" s="578"/>
    </row>
    <row r="2" spans="1:28" ht="15.75">
      <c r="A2" s="25" t="str">
        <f>SchoolName</f>
        <v>Strong Start Academy Elementary School</v>
      </c>
      <c r="B2" s="25"/>
      <c r="O2" s="29"/>
      <c r="S2" s="5"/>
    </row>
    <row r="3" spans="1:28">
      <c r="A3" s="22" t="s">
        <v>62</v>
      </c>
      <c r="O3" s="4"/>
      <c r="S3" s="5"/>
    </row>
    <row r="4" spans="1:28">
      <c r="A4" s="23" t="s">
        <v>63</v>
      </c>
      <c r="O4" s="4"/>
      <c r="S4" s="5"/>
    </row>
    <row r="5" spans="1:28">
      <c r="A5" s="1707" t="str">
        <f ca="1">CELL("filename")</f>
        <v>C:\Users\rsaucedo\OneDrive - City of Las Vegas\CLV Charter School\[Strong Start Academy Elementary School Financial Workbook 2021.xlsx]Incubation</v>
      </c>
      <c r="O5" s="4"/>
      <c r="S5" s="5"/>
    </row>
    <row r="6" spans="1:28">
      <c r="O6" s="1188"/>
      <c r="P6" s="1188"/>
      <c r="Q6" s="1188"/>
      <c r="R6" s="1188"/>
      <c r="S6" s="46"/>
      <c r="T6" s="46"/>
      <c r="U6" s="46"/>
      <c r="V6" s="46"/>
      <c r="W6" s="46"/>
      <c r="X6" s="46"/>
      <c r="Y6" s="46"/>
      <c r="Z6" s="46"/>
      <c r="AA6" s="46"/>
      <c r="AB6" s="46"/>
    </row>
    <row r="7" spans="1:28">
      <c r="O7" s="46" t="s">
        <v>1062</v>
      </c>
      <c r="P7" s="516"/>
      <c r="Q7" s="516"/>
      <c r="R7" s="516"/>
      <c r="S7" s="516"/>
      <c r="T7" s="516"/>
      <c r="U7" s="516"/>
      <c r="V7" s="516"/>
      <c r="W7" s="516"/>
      <c r="X7" s="516"/>
      <c r="Y7" s="516"/>
      <c r="AA7" s="516"/>
      <c r="AB7" s="516"/>
    </row>
    <row r="8" spans="1:28" ht="15.75">
      <c r="B8" s="1515" t="s">
        <v>1063</v>
      </c>
      <c r="C8" s="1515"/>
      <c r="D8" s="1516"/>
      <c r="E8" s="1516"/>
      <c r="F8" s="1517"/>
      <c r="G8" s="1517"/>
      <c r="H8" s="1517"/>
      <c r="I8" s="1516"/>
      <c r="J8" s="1518"/>
      <c r="O8" s="42" t="s">
        <v>1064</v>
      </c>
      <c r="P8" s="34"/>
      <c r="Q8" s="33"/>
      <c r="R8" s="33"/>
      <c r="S8" s="33"/>
      <c r="T8" s="33"/>
      <c r="U8" s="33"/>
      <c r="V8" s="33"/>
      <c r="W8" s="33"/>
      <c r="X8" s="33"/>
      <c r="Y8" s="33"/>
      <c r="Z8" s="583" t="s">
        <v>1065</v>
      </c>
      <c r="AA8" s="33"/>
      <c r="AB8" s="33"/>
    </row>
    <row r="9" spans="1:28" ht="15.75">
      <c r="A9" s="584"/>
      <c r="B9" s="584"/>
      <c r="C9" s="584"/>
      <c r="D9" s="584"/>
      <c r="E9" s="584"/>
      <c r="F9" s="588"/>
      <c r="G9" s="588"/>
      <c r="H9" s="588"/>
      <c r="I9" s="584"/>
      <c r="J9" s="5"/>
      <c r="O9" s="584"/>
      <c r="P9" s="585"/>
      <c r="Q9" s="586"/>
      <c r="R9" s="586"/>
      <c r="S9" s="586"/>
      <c r="T9" s="1187"/>
      <c r="U9" s="586"/>
      <c r="V9" s="586"/>
      <c r="W9" s="586"/>
      <c r="X9" s="586"/>
      <c r="Y9" s="586"/>
      <c r="Z9" s="614">
        <v>0</v>
      </c>
      <c r="AA9" s="586"/>
      <c r="AB9" s="586"/>
    </row>
    <row r="10" spans="1:28" ht="15.75">
      <c r="A10" s="584"/>
      <c r="B10" s="1519" t="s">
        <v>1221</v>
      </c>
      <c r="C10" s="1519"/>
      <c r="D10" s="1520"/>
      <c r="E10" s="1520"/>
      <c r="F10" s="1521"/>
      <c r="G10" s="1521"/>
      <c r="H10" s="1521"/>
      <c r="I10" s="1520"/>
      <c r="J10" s="1522"/>
      <c r="O10" s="584"/>
      <c r="P10" s="585"/>
      <c r="Q10" s="586"/>
      <c r="R10" s="586"/>
      <c r="S10" s="590" t="s">
        <v>1066</v>
      </c>
      <c r="T10" s="586"/>
      <c r="U10" s="586"/>
      <c r="V10" s="586"/>
      <c r="W10" s="586"/>
      <c r="X10" s="586"/>
      <c r="Y10" s="586"/>
      <c r="Z10" s="589">
        <v>0</v>
      </c>
      <c r="AA10" s="586"/>
      <c r="AB10" s="586"/>
    </row>
    <row r="11" spans="1:28" ht="15.75">
      <c r="A11" s="584"/>
      <c r="O11" s="584"/>
      <c r="P11" s="1908" t="s">
        <v>1067</v>
      </c>
      <c r="Q11" s="1908"/>
      <c r="R11" s="590" t="s">
        <v>1068</v>
      </c>
      <c r="S11" s="590"/>
      <c r="T11" s="590"/>
      <c r="U11" s="590"/>
      <c r="V11" s="1909" t="s">
        <v>1069</v>
      </c>
      <c r="W11" s="1909"/>
      <c r="X11" s="584"/>
      <c r="Y11" s="584" t="s">
        <v>1070</v>
      </c>
      <c r="Z11" s="615">
        <f>+Z9*(1-Z10)</f>
        <v>0</v>
      </c>
      <c r="AA11" s="1860" t="s">
        <v>1065</v>
      </c>
      <c r="AB11" s="1860"/>
    </row>
    <row r="12" spans="1:28" ht="15.75">
      <c r="A12" s="584"/>
      <c r="B12" t="s">
        <v>1071</v>
      </c>
      <c r="D12" s="1633">
        <v>0.99309999999999998</v>
      </c>
      <c r="O12" s="584"/>
      <c r="P12" s="1820"/>
      <c r="Q12" s="1820"/>
      <c r="R12" s="590"/>
      <c r="S12" s="590"/>
      <c r="T12" s="590"/>
      <c r="U12" s="590"/>
      <c r="V12" s="1821"/>
      <c r="W12" s="1821"/>
      <c r="X12" s="584"/>
      <c r="Y12" s="584"/>
      <c r="Z12" s="615"/>
      <c r="AA12" s="1860"/>
      <c r="AB12" s="1860"/>
    </row>
    <row r="13" spans="1:28" ht="31.5">
      <c r="A13" s="584"/>
      <c r="D13" s="1508" t="s">
        <v>1072</v>
      </c>
      <c r="E13" s="1570" t="s">
        <v>1073</v>
      </c>
      <c r="O13" s="1527" t="s">
        <v>1074</v>
      </c>
      <c r="P13" s="1528" t="s">
        <v>1075</v>
      </c>
      <c r="Q13" s="1529" t="s">
        <v>1076</v>
      </c>
      <c r="R13" s="1530">
        <v>1</v>
      </c>
      <c r="S13" s="1531">
        <v>0</v>
      </c>
      <c r="T13" s="1532" t="s">
        <v>1077</v>
      </c>
      <c r="U13" s="1533" t="s">
        <v>1078</v>
      </c>
      <c r="V13" s="1534" t="s">
        <v>1079</v>
      </c>
      <c r="W13" s="1534" t="s">
        <v>1080</v>
      </c>
      <c r="X13" s="1535" t="s">
        <v>1081</v>
      </c>
      <c r="Y13" s="1535" t="s">
        <v>1082</v>
      </c>
      <c r="Z13" s="1536" t="s">
        <v>1083</v>
      </c>
      <c r="AA13" s="1536" t="s">
        <v>1084</v>
      </c>
      <c r="AB13" s="1537" t="s">
        <v>1085</v>
      </c>
    </row>
    <row r="14" spans="1:28" ht="15.75">
      <c r="A14" s="767"/>
      <c r="B14" s="1575" t="s">
        <v>1086</v>
      </c>
      <c r="C14" s="1575"/>
      <c r="D14" s="1574">
        <v>6980</v>
      </c>
      <c r="E14" s="1574">
        <v>7074</v>
      </c>
      <c r="O14" s="1538" t="s">
        <v>1087</v>
      </c>
      <c r="P14" s="1539">
        <v>7184</v>
      </c>
      <c r="Q14" s="1540">
        <v>1245.3823475451604</v>
      </c>
      <c r="R14" s="1540">
        <f>P14+Q14</f>
        <v>8429.3823475451609</v>
      </c>
      <c r="S14" s="1540">
        <f>+R14*(1-(-1*$S$13))</f>
        <v>8429.3823475451609</v>
      </c>
      <c r="T14" s="1541">
        <v>0</v>
      </c>
      <c r="U14" s="1542">
        <f>IF($Z$11&gt;0,0,IF(T14=0,0,IF(AB14/4&gt;500000,"Mo","Qtrly")))</f>
        <v>0</v>
      </c>
      <c r="V14" s="1543">
        <f t="shared" ref="V14:V41" si="0">IF(U14="Qtrly",AB14/4,0)</f>
        <v>0</v>
      </c>
      <c r="W14" s="1544">
        <f t="shared" ref="W14:W41" si="1">IF(U14="Mo",AB14/12,0)</f>
        <v>0</v>
      </c>
      <c r="X14" s="1545">
        <f t="shared" ref="X14:X41" si="2">+Q14/R14</f>
        <v>0.14774301321233171</v>
      </c>
      <c r="Y14" s="1545">
        <f>+R14/$R$27</f>
        <v>1.1638051335266291</v>
      </c>
      <c r="Z14" s="1546">
        <f>IF(T14=0,0,T14*$Z$11)</f>
        <v>0</v>
      </c>
      <c r="AA14" s="1546">
        <f>IF($Z$11&gt;0,0,T14*R14)</f>
        <v>0</v>
      </c>
      <c r="AB14" s="1546">
        <f>IF($Z$11&gt;0,0,T14*S14)</f>
        <v>0</v>
      </c>
    </row>
    <row r="15" spans="1:28" ht="15.75">
      <c r="A15" s="767"/>
      <c r="B15" s="1575" t="s">
        <v>1088</v>
      </c>
      <c r="C15" s="1644"/>
      <c r="D15" s="1645">
        <f>+D14*$D$12</f>
        <v>6931.8379999999997</v>
      </c>
      <c r="E15" s="1645">
        <f>+E14*$D$12</f>
        <v>7025.1894000000002</v>
      </c>
      <c r="O15" s="1538"/>
      <c r="P15" s="1539"/>
      <c r="Q15" s="1540"/>
      <c r="R15" s="1540"/>
      <c r="S15" s="1540"/>
      <c r="T15" s="1541"/>
      <c r="U15" s="1542"/>
      <c r="V15" s="1543"/>
      <c r="W15" s="1544"/>
      <c r="X15" s="1545"/>
      <c r="Y15" s="1545"/>
      <c r="Z15" s="1546"/>
      <c r="AA15" s="1546"/>
      <c r="AB15" s="1546"/>
    </row>
    <row r="16" spans="1:28" ht="15.75">
      <c r="A16" s="767"/>
      <c r="E16" s="1634"/>
      <c r="O16" s="1538" t="s">
        <v>1089</v>
      </c>
      <c r="P16" s="1547">
        <v>7006</v>
      </c>
      <c r="Q16" s="1548">
        <v>1320.4897724523435</v>
      </c>
      <c r="R16" s="1548">
        <f t="shared" ref="R16:R41" si="3">P16+Q16</f>
        <v>8326.4897724523435</v>
      </c>
      <c r="S16" s="1548">
        <f>+R16*(1-(-1*$S$13))</f>
        <v>8326.4897724523435</v>
      </c>
      <c r="T16" s="1549"/>
      <c r="U16" s="1542">
        <f>IF($Z$11&gt;0,0,IF(T16=0,0,IF(AB16/4&gt;500000,"Mo","Qtrly")))</f>
        <v>0</v>
      </c>
      <c r="V16" s="1550">
        <f t="shared" si="0"/>
        <v>0</v>
      </c>
      <c r="W16" s="1551">
        <f t="shared" si="1"/>
        <v>0</v>
      </c>
      <c r="X16" s="1545">
        <f t="shared" si="2"/>
        <v>0.15858901031994288</v>
      </c>
      <c r="Y16" s="1545">
        <f>+R16/$R$27</f>
        <v>1.1495992401221535</v>
      </c>
      <c r="Z16" s="1552">
        <f>IF(T16=0,0,T16*$Z$11)</f>
        <v>0</v>
      </c>
      <c r="AA16" s="1552">
        <f>IF($Z$11&gt;0,0,T16*R16)</f>
        <v>0</v>
      </c>
      <c r="AB16" s="1552">
        <f>IF($Z$11&gt;0,0,T16*S16)</f>
        <v>0</v>
      </c>
    </row>
    <row r="17" spans="1:28" ht="15.75">
      <c r="A17" s="767"/>
      <c r="B17" s="1502" t="s">
        <v>1090</v>
      </c>
      <c r="C17" s="1502"/>
      <c r="D17" s="5"/>
      <c r="O17" s="1538"/>
      <c r="P17" s="1547"/>
      <c r="Q17" s="1548"/>
      <c r="R17" s="1548"/>
      <c r="S17" s="1548"/>
      <c r="T17" s="1549"/>
      <c r="U17" s="1542"/>
      <c r="V17" s="1550"/>
      <c r="W17" s="1551"/>
      <c r="X17" s="1545"/>
      <c r="Y17" s="1545"/>
      <c r="Z17" s="1552"/>
      <c r="AA17" s="1552"/>
      <c r="AB17" s="1552"/>
    </row>
    <row r="18" spans="1:28" ht="15.75">
      <c r="A18" s="767"/>
      <c r="B18" s="1511" t="s">
        <v>1222</v>
      </c>
      <c r="C18" s="1511"/>
      <c r="D18" s="1514"/>
      <c r="O18" s="1538"/>
      <c r="P18" s="1547"/>
      <c r="Q18" s="1548"/>
      <c r="R18" s="1548"/>
      <c r="S18" s="1548"/>
      <c r="T18" s="1549"/>
      <c r="U18" s="1542"/>
      <c r="V18" s="1550"/>
      <c r="W18" s="1551"/>
      <c r="X18" s="1545"/>
      <c r="Y18" s="1545"/>
      <c r="Z18" s="1552"/>
      <c r="AA18" s="1552"/>
      <c r="AB18" s="1552"/>
    </row>
    <row r="19" spans="1:28" ht="15.75">
      <c r="A19" s="767"/>
      <c r="B19" s="1507" t="s">
        <v>1092</v>
      </c>
      <c r="C19" s="1507"/>
      <c r="D19" s="1508" t="s">
        <v>1072</v>
      </c>
      <c r="E19" s="1570" t="s">
        <v>1073</v>
      </c>
      <c r="F19" s="1868" t="s">
        <v>1220</v>
      </c>
      <c r="O19" s="1538"/>
      <c r="P19" s="1547"/>
      <c r="Q19" s="1548"/>
      <c r="R19" s="1548"/>
      <c r="S19" s="1548"/>
      <c r="T19" s="1549"/>
      <c r="U19" s="1542"/>
      <c r="V19" s="1550"/>
      <c r="W19" s="1551"/>
      <c r="X19" s="1545"/>
      <c r="Y19" s="1545"/>
      <c r="Z19" s="1552"/>
      <c r="AA19" s="1552"/>
      <c r="AB19" s="1552"/>
    </row>
    <row r="20" spans="1:28" ht="15.75">
      <c r="A20" s="767"/>
      <c r="B20" s="1870" t="s">
        <v>1093</v>
      </c>
      <c r="C20" s="1870"/>
      <c r="D20" s="1705">
        <v>7494</v>
      </c>
      <c r="E20" s="1564">
        <v>7594</v>
      </c>
      <c r="F20" s="1867">
        <f t="shared" ref="F20:F25" si="4">E20/D20-1</f>
        <v>1.3344008540165486E-2</v>
      </c>
      <c r="O20" s="1538"/>
      <c r="P20" s="1547"/>
      <c r="Q20" s="1548"/>
      <c r="R20" s="1548"/>
      <c r="S20" s="1548"/>
      <c r="T20" s="1549"/>
      <c r="U20" s="1542"/>
      <c r="V20" s="1550"/>
      <c r="W20" s="1551"/>
      <c r="X20" s="1545"/>
      <c r="Y20" s="1545"/>
      <c r="Z20" s="1552"/>
      <c r="AA20" s="1552"/>
      <c r="AB20" s="1552"/>
    </row>
    <row r="21" spans="1:28" ht="15.75">
      <c r="A21" s="767"/>
      <c r="B21" s="1871" t="s">
        <v>1094</v>
      </c>
      <c r="C21" s="1871"/>
      <c r="D21" s="1706">
        <v>8093</v>
      </c>
      <c r="E21" s="1573">
        <v>8197</v>
      </c>
      <c r="F21" s="1867">
        <f t="shared" si="4"/>
        <v>1.2850611639688703E-2</v>
      </c>
      <c r="O21" s="1538"/>
      <c r="P21" s="1547"/>
      <c r="Q21" s="1548"/>
      <c r="R21" s="1548"/>
      <c r="S21" s="1548"/>
      <c r="T21" s="1549"/>
      <c r="U21" s="1542"/>
      <c r="V21" s="1550"/>
      <c r="W21" s="1551"/>
      <c r="X21" s="1545"/>
      <c r="Y21" s="1545"/>
      <c r="Z21" s="1552"/>
      <c r="AA21" s="1552"/>
      <c r="AB21" s="1552"/>
    </row>
    <row r="22" spans="1:28" ht="15.75">
      <c r="A22" s="767"/>
      <c r="B22" s="1871" t="s">
        <v>1095</v>
      </c>
      <c r="C22" s="1871"/>
      <c r="D22" s="1706">
        <v>7197</v>
      </c>
      <c r="E22" s="1573">
        <v>7293</v>
      </c>
      <c r="F22" s="1867">
        <f t="shared" si="4"/>
        <v>1.3338891204668579E-2</v>
      </c>
      <c r="O22" s="1538"/>
      <c r="P22" s="1547"/>
      <c r="Q22" s="1548"/>
      <c r="R22" s="1548"/>
      <c r="S22" s="1548"/>
      <c r="T22" s="1549"/>
      <c r="U22" s="1542"/>
      <c r="V22" s="1550"/>
      <c r="W22" s="1551"/>
      <c r="X22" s="1545"/>
      <c r="Y22" s="1545"/>
      <c r="Z22" s="1552"/>
      <c r="AA22" s="1552"/>
      <c r="AB22" s="1552"/>
    </row>
    <row r="23" spans="1:28" ht="15.75">
      <c r="A23" s="767"/>
      <c r="B23" s="1871" t="s">
        <v>1096</v>
      </c>
      <c r="C23" s="1871"/>
      <c r="D23" s="1706">
        <v>7715</v>
      </c>
      <c r="E23" s="1573">
        <v>7818</v>
      </c>
      <c r="F23" s="1867">
        <f t="shared" si="4"/>
        <v>1.335061568373308E-2</v>
      </c>
      <c r="O23" s="1538"/>
      <c r="P23" s="1547"/>
      <c r="Q23" s="1548"/>
      <c r="R23" s="1548"/>
      <c r="S23" s="1548"/>
      <c r="T23" s="1549"/>
      <c r="U23" s="1542"/>
      <c r="V23" s="1550"/>
      <c r="W23" s="1551"/>
      <c r="X23" s="1545"/>
      <c r="Y23" s="1545"/>
      <c r="Z23" s="1552"/>
      <c r="AA23" s="1552"/>
      <c r="AB23" s="1552"/>
    </row>
    <row r="24" spans="1:28" ht="15.75">
      <c r="A24" s="767"/>
      <c r="B24" s="1871" t="s">
        <v>1097</v>
      </c>
      <c r="C24" s="1871"/>
      <c r="D24" s="1706">
        <v>6980</v>
      </c>
      <c r="E24" s="1573">
        <v>7074</v>
      </c>
      <c r="F24" s="1867">
        <f t="shared" si="4"/>
        <v>1.346704871060167E-2</v>
      </c>
      <c r="O24" s="1538"/>
      <c r="P24" s="1547"/>
      <c r="Q24" s="1548"/>
      <c r="R24" s="1548"/>
      <c r="S24" s="1548"/>
      <c r="T24" s="1549"/>
      <c r="U24" s="1542"/>
      <c r="V24" s="1550"/>
      <c r="W24" s="1551"/>
      <c r="X24" s="1545"/>
      <c r="Y24" s="1545"/>
      <c r="Z24" s="1552"/>
      <c r="AA24" s="1552"/>
      <c r="AB24" s="1552"/>
    </row>
    <row r="25" spans="1:28" ht="15.75">
      <c r="A25" s="767"/>
      <c r="B25" s="1871" t="s">
        <v>1098</v>
      </c>
      <c r="C25" s="1871"/>
      <c r="D25" s="1706">
        <v>10367</v>
      </c>
      <c r="E25" s="1573">
        <v>10501</v>
      </c>
      <c r="F25" s="1867">
        <f t="shared" si="4"/>
        <v>1.2925629400983851E-2</v>
      </c>
      <c r="O25" s="1538"/>
      <c r="P25" s="1547"/>
      <c r="Q25" s="1548"/>
      <c r="R25" s="1548"/>
      <c r="S25" s="1548"/>
      <c r="T25" s="1549"/>
      <c r="U25" s="1542"/>
      <c r="V25" s="1550"/>
      <c r="W25" s="1551"/>
      <c r="X25" s="1545"/>
      <c r="Y25" s="1545"/>
      <c r="Z25" s="1552"/>
      <c r="AA25" s="1552"/>
      <c r="AB25" s="1552"/>
    </row>
    <row r="26" spans="1:28" ht="15.75">
      <c r="A26" s="767"/>
      <c r="O26" s="1538"/>
      <c r="P26" s="1547"/>
      <c r="Q26" s="1548"/>
      <c r="R26" s="1548"/>
      <c r="S26" s="1548"/>
      <c r="T26" s="1549"/>
      <c r="U26" s="1542"/>
      <c r="V26" s="1550"/>
      <c r="W26" s="1551"/>
      <c r="X26" s="1545"/>
      <c r="Y26" s="1545"/>
      <c r="Z26" s="1552"/>
      <c r="AA26" s="1552"/>
      <c r="AB26" s="1552"/>
    </row>
    <row r="27" spans="1:28" ht="15.75">
      <c r="A27" s="767"/>
      <c r="B27" s="1502" t="s">
        <v>1090</v>
      </c>
      <c r="C27" s="1502"/>
      <c r="D27" s="5"/>
      <c r="O27" s="1553" t="s">
        <v>1099</v>
      </c>
      <c r="P27" s="1554">
        <v>6067</v>
      </c>
      <c r="Q27" s="1555">
        <v>1175.9499619081098</v>
      </c>
      <c r="R27" s="1555">
        <f t="shared" si="3"/>
        <v>7242.9499619081098</v>
      </c>
      <c r="S27" s="1555">
        <f t="shared" ref="S27:S41" si="5">+R27*(1-(-1*$S$13))</f>
        <v>7242.9499619081098</v>
      </c>
      <c r="T27" s="1556">
        <v>278</v>
      </c>
      <c r="U27" s="1542" t="str">
        <f t="shared" ref="U27:U41" si="6">IF($Z$11&gt;0,0,IF(T27=0,0,IF(AB27/4&gt;500000,"Mo","Qtrly")))</f>
        <v>Mo</v>
      </c>
      <c r="V27" s="1550">
        <f t="shared" si="0"/>
        <v>0</v>
      </c>
      <c r="W27" s="1551">
        <f t="shared" si="1"/>
        <v>167795.0074508712</v>
      </c>
      <c r="X27" s="1557">
        <f t="shared" si="2"/>
        <v>0.1623578746356979</v>
      </c>
      <c r="Y27" s="1557">
        <f t="shared" ref="Y27:Y41" si="7">+R27/$R$27</f>
        <v>1</v>
      </c>
      <c r="Z27" s="1552">
        <f t="shared" ref="Z27:Z41" si="8">IF(T27=0,0,T27*$Z$11)</f>
        <v>0</v>
      </c>
      <c r="AA27" s="1558">
        <f t="shared" ref="AA27:AA41" si="9">IF($Z$11&gt;0,0,T27*R27)</f>
        <v>2013540.0894104545</v>
      </c>
      <c r="AB27" s="1552">
        <f t="shared" ref="AB27:AB41" si="10">IF($Z$11&gt;0,0,T27*S27)</f>
        <v>2013540.0894104545</v>
      </c>
    </row>
    <row r="28" spans="1:28" ht="15.75">
      <c r="A28" s="767"/>
      <c r="B28" s="1511" t="s">
        <v>1223</v>
      </c>
      <c r="C28" s="1511"/>
      <c r="D28" s="1514"/>
      <c r="E28" s="1489"/>
      <c r="O28" s="1538" t="s">
        <v>1100</v>
      </c>
      <c r="P28" s="1547">
        <v>6086</v>
      </c>
      <c r="Q28" s="1548">
        <v>3253.7290423366917</v>
      </c>
      <c r="R28" s="1548">
        <f t="shared" si="3"/>
        <v>9339.7290423366921</v>
      </c>
      <c r="S28" s="1548">
        <f t="shared" si="5"/>
        <v>9339.7290423366921</v>
      </c>
      <c r="T28" s="1549">
        <v>0</v>
      </c>
      <c r="U28" s="1542">
        <f t="shared" si="6"/>
        <v>0</v>
      </c>
      <c r="V28" s="1550">
        <f t="shared" si="0"/>
        <v>0</v>
      </c>
      <c r="W28" s="1551">
        <f t="shared" si="1"/>
        <v>0</v>
      </c>
      <c r="X28" s="1545">
        <f t="shared" si="2"/>
        <v>0.34837510034687758</v>
      </c>
      <c r="Y28" s="1545">
        <f t="shared" si="7"/>
        <v>1.2894924155842433</v>
      </c>
      <c r="Z28" s="1552">
        <f t="shared" si="8"/>
        <v>0</v>
      </c>
      <c r="AA28" s="1552">
        <f t="shared" si="9"/>
        <v>0</v>
      </c>
      <c r="AB28" s="1552">
        <f t="shared" si="10"/>
        <v>0</v>
      </c>
    </row>
    <row r="29" spans="1:28" ht="15.75">
      <c r="A29" s="767"/>
      <c r="B29" s="1507" t="s">
        <v>1092</v>
      </c>
      <c r="C29" s="1507"/>
      <c r="D29" s="1508" t="s">
        <v>1072</v>
      </c>
      <c r="E29" s="1570" t="s">
        <v>1073</v>
      </c>
      <c r="F29" s="1868" t="s">
        <v>1220</v>
      </c>
      <c r="O29" s="1538" t="s">
        <v>1101</v>
      </c>
      <c r="P29" s="1547">
        <v>7891</v>
      </c>
      <c r="Q29" s="1548">
        <v>1529.3898852952666</v>
      </c>
      <c r="R29" s="1548">
        <f t="shared" si="3"/>
        <v>9420.3898852952661</v>
      </c>
      <c r="S29" s="1548">
        <f t="shared" si="5"/>
        <v>9420.3898852952661</v>
      </c>
      <c r="T29" s="1549">
        <v>0</v>
      </c>
      <c r="U29" s="1542">
        <f t="shared" si="6"/>
        <v>0</v>
      </c>
      <c r="V29" s="1550">
        <f t="shared" si="0"/>
        <v>0</v>
      </c>
      <c r="W29" s="1551">
        <f t="shared" si="1"/>
        <v>0</v>
      </c>
      <c r="X29" s="1545">
        <f t="shared" si="2"/>
        <v>0.16234889467606473</v>
      </c>
      <c r="Y29" s="1545">
        <f t="shared" si="7"/>
        <v>1.3006288784043349</v>
      </c>
      <c r="Z29" s="1552">
        <f t="shared" si="8"/>
        <v>0</v>
      </c>
      <c r="AA29" s="1552">
        <f t="shared" si="9"/>
        <v>0</v>
      </c>
      <c r="AB29" s="1552">
        <f t="shared" si="10"/>
        <v>0</v>
      </c>
    </row>
    <row r="30" spans="1:28" ht="15.75">
      <c r="A30" s="767"/>
      <c r="B30" s="1870" t="s">
        <v>1093</v>
      </c>
      <c r="C30" s="1870"/>
      <c r="D30" s="1705">
        <f t="shared" ref="D30:E35" si="11">+D20*$D$12</f>
        <v>7442.2914000000001</v>
      </c>
      <c r="E30" s="1564">
        <f t="shared" si="11"/>
        <v>7541.6013999999996</v>
      </c>
      <c r="F30" s="1867">
        <f t="shared" ref="F30:F35" si="12">E30/D30-1</f>
        <v>1.3344008540165486E-2</v>
      </c>
      <c r="O30" s="1538" t="s">
        <v>1102</v>
      </c>
      <c r="P30" s="1547">
        <v>20750</v>
      </c>
      <c r="Q30" s="1548">
        <v>9469.2635503703241</v>
      </c>
      <c r="R30" s="1548">
        <f t="shared" si="3"/>
        <v>30219.263550370324</v>
      </c>
      <c r="S30" s="1548">
        <f t="shared" si="5"/>
        <v>30219.263550370324</v>
      </c>
      <c r="T30" s="1549">
        <v>0</v>
      </c>
      <c r="U30" s="1542">
        <f t="shared" si="6"/>
        <v>0</v>
      </c>
      <c r="V30" s="1550">
        <f t="shared" si="0"/>
        <v>0</v>
      </c>
      <c r="W30" s="1551">
        <f t="shared" si="1"/>
        <v>0</v>
      </c>
      <c r="X30" s="1545">
        <f t="shared" si="2"/>
        <v>0.31335189669949065</v>
      </c>
      <c r="Y30" s="1545">
        <f t="shared" si="7"/>
        <v>4.1722314401312319</v>
      </c>
      <c r="Z30" s="1552">
        <f t="shared" si="8"/>
        <v>0</v>
      </c>
      <c r="AA30" s="1552">
        <f t="shared" si="9"/>
        <v>0</v>
      </c>
      <c r="AB30" s="1552">
        <f t="shared" si="10"/>
        <v>0</v>
      </c>
    </row>
    <row r="31" spans="1:28" ht="15.75">
      <c r="A31" s="767"/>
      <c r="B31" s="1871" t="s">
        <v>1094</v>
      </c>
      <c r="C31" s="1871"/>
      <c r="D31" s="1706">
        <f t="shared" si="11"/>
        <v>8037.1583000000001</v>
      </c>
      <c r="E31" s="1573">
        <f t="shared" si="11"/>
        <v>8140.4407000000001</v>
      </c>
      <c r="F31" s="1867">
        <f t="shared" si="12"/>
        <v>1.2850611639688703E-2</v>
      </c>
      <c r="O31" s="1538" t="s">
        <v>1103</v>
      </c>
      <c r="P31" s="1547">
        <v>11032</v>
      </c>
      <c r="Q31" s="1548">
        <v>20035.774574253475</v>
      </c>
      <c r="R31" s="1548">
        <f t="shared" si="3"/>
        <v>31067.774574253475</v>
      </c>
      <c r="S31" s="1548">
        <f t="shared" si="5"/>
        <v>31067.774574253475</v>
      </c>
      <c r="T31" s="1549">
        <v>0</v>
      </c>
      <c r="U31" s="1542">
        <f t="shared" si="6"/>
        <v>0</v>
      </c>
      <c r="V31" s="1550">
        <f t="shared" si="0"/>
        <v>0</v>
      </c>
      <c r="W31" s="1551">
        <f t="shared" si="1"/>
        <v>0</v>
      </c>
      <c r="X31" s="1545">
        <f t="shared" si="2"/>
        <v>0.64490536734026471</v>
      </c>
      <c r="Y31" s="1545">
        <f t="shared" si="7"/>
        <v>4.2893813622410919</v>
      </c>
      <c r="Z31" s="1552">
        <f t="shared" si="8"/>
        <v>0</v>
      </c>
      <c r="AA31" s="1552">
        <f t="shared" si="9"/>
        <v>0</v>
      </c>
      <c r="AB31" s="1552">
        <f t="shared" si="10"/>
        <v>0</v>
      </c>
    </row>
    <row r="32" spans="1:28" ht="15.75">
      <c r="A32" s="767"/>
      <c r="B32" s="1871" t="s">
        <v>1095</v>
      </c>
      <c r="C32" s="1871"/>
      <c r="D32" s="1706">
        <f t="shared" si="11"/>
        <v>7147.3406999999997</v>
      </c>
      <c r="E32" s="1573">
        <f t="shared" si="11"/>
        <v>7242.6782999999996</v>
      </c>
      <c r="F32" s="1867">
        <f t="shared" si="12"/>
        <v>1.3338891204668579E-2</v>
      </c>
      <c r="O32" s="1538" t="s">
        <v>1104</v>
      </c>
      <c r="P32" s="1547">
        <v>7431</v>
      </c>
      <c r="Q32" s="1548">
        <v>2257.9168173623493</v>
      </c>
      <c r="R32" s="1548">
        <f t="shared" si="3"/>
        <v>9688.9168173623493</v>
      </c>
      <c r="S32" s="1548">
        <f t="shared" si="5"/>
        <v>9688.9168173623493</v>
      </c>
      <c r="T32" s="1549">
        <v>0</v>
      </c>
      <c r="U32" s="1542">
        <f t="shared" si="6"/>
        <v>0</v>
      </c>
      <c r="V32" s="1550">
        <f t="shared" si="0"/>
        <v>0</v>
      </c>
      <c r="W32" s="1551">
        <f t="shared" si="1"/>
        <v>0</v>
      </c>
      <c r="X32" s="1545">
        <f t="shared" si="2"/>
        <v>0.2330412016043121</v>
      </c>
      <c r="Y32" s="1545">
        <f t="shared" si="7"/>
        <v>1.3377031276369422</v>
      </c>
      <c r="Z32" s="1552">
        <f t="shared" si="8"/>
        <v>0</v>
      </c>
      <c r="AA32" s="1552">
        <f t="shared" si="9"/>
        <v>0</v>
      </c>
      <c r="AB32" s="1552">
        <f t="shared" si="10"/>
        <v>0</v>
      </c>
    </row>
    <row r="33" spans="1:28" ht="15.75">
      <c r="A33" s="767"/>
      <c r="B33" s="1871" t="s">
        <v>1096</v>
      </c>
      <c r="C33" s="1871"/>
      <c r="D33" s="1706">
        <f t="shared" si="11"/>
        <v>7661.7664999999997</v>
      </c>
      <c r="E33" s="1573">
        <f t="shared" si="11"/>
        <v>7764.0558000000001</v>
      </c>
      <c r="F33" s="1867">
        <f t="shared" si="12"/>
        <v>1.335061568373308E-2</v>
      </c>
      <c r="O33" s="1538" t="s">
        <v>1105</v>
      </c>
      <c r="P33" s="1547">
        <v>3517</v>
      </c>
      <c r="Q33" s="1548">
        <v>8536.338724633586</v>
      </c>
      <c r="R33" s="1548">
        <f t="shared" si="3"/>
        <v>12053.338724633586</v>
      </c>
      <c r="S33" s="1548">
        <f t="shared" si="5"/>
        <v>12053.338724633586</v>
      </c>
      <c r="T33" s="1549">
        <v>0</v>
      </c>
      <c r="U33" s="1542">
        <f t="shared" si="6"/>
        <v>0</v>
      </c>
      <c r="V33" s="1550">
        <f t="shared" si="0"/>
        <v>0</v>
      </c>
      <c r="W33" s="1551">
        <f t="shared" si="1"/>
        <v>0</v>
      </c>
      <c r="X33" s="1545">
        <f t="shared" si="2"/>
        <v>0.70821362608749594</v>
      </c>
      <c r="Y33" s="1545">
        <f t="shared" si="7"/>
        <v>1.6641477282079979</v>
      </c>
      <c r="Z33" s="1552">
        <f t="shared" si="8"/>
        <v>0</v>
      </c>
      <c r="AA33" s="1552">
        <f t="shared" si="9"/>
        <v>0</v>
      </c>
      <c r="AB33" s="1552">
        <f t="shared" si="10"/>
        <v>0</v>
      </c>
    </row>
    <row r="34" spans="1:28" ht="15.75">
      <c r="A34" s="767"/>
      <c r="B34" s="1871" t="s">
        <v>1097</v>
      </c>
      <c r="C34" s="1871"/>
      <c r="D34" s="1706">
        <f t="shared" si="11"/>
        <v>6931.8379999999997</v>
      </c>
      <c r="E34" s="1573">
        <f t="shared" si="11"/>
        <v>7025.1894000000002</v>
      </c>
      <c r="F34" s="1867">
        <f t="shared" si="12"/>
        <v>1.3467048710601892E-2</v>
      </c>
      <c r="O34" s="1538" t="s">
        <v>1106</v>
      </c>
      <c r="P34" s="1547">
        <v>12131</v>
      </c>
      <c r="Q34" s="1548">
        <v>1685.3148174012715</v>
      </c>
      <c r="R34" s="1548">
        <f t="shared" si="3"/>
        <v>13816.314817401271</v>
      </c>
      <c r="S34" s="1548">
        <f t="shared" si="5"/>
        <v>13816.314817401271</v>
      </c>
      <c r="T34" s="1549">
        <v>0</v>
      </c>
      <c r="U34" s="1542">
        <f t="shared" si="6"/>
        <v>0</v>
      </c>
      <c r="V34" s="1550">
        <f t="shared" si="0"/>
        <v>0</v>
      </c>
      <c r="W34" s="1551">
        <f t="shared" si="1"/>
        <v>0</v>
      </c>
      <c r="X34" s="1545">
        <f t="shared" si="2"/>
        <v>0.12198005326852161</v>
      </c>
      <c r="Y34" s="1545">
        <f t="shared" si="7"/>
        <v>1.9075535368963739</v>
      </c>
      <c r="Z34" s="1552">
        <f t="shared" si="8"/>
        <v>0</v>
      </c>
      <c r="AA34" s="1552">
        <f t="shared" si="9"/>
        <v>0</v>
      </c>
      <c r="AB34" s="1552">
        <f t="shared" si="10"/>
        <v>0</v>
      </c>
    </row>
    <row r="35" spans="1:28" ht="15.75">
      <c r="A35" s="767"/>
      <c r="B35" s="1871" t="s">
        <v>1098</v>
      </c>
      <c r="C35" s="1871"/>
      <c r="D35" s="1706">
        <f t="shared" si="11"/>
        <v>10295.467699999999</v>
      </c>
      <c r="E35" s="1573">
        <f t="shared" si="11"/>
        <v>10428.543099999999</v>
      </c>
      <c r="F35" s="1867">
        <f t="shared" si="12"/>
        <v>1.2925629400983851E-2</v>
      </c>
      <c r="O35" s="1538" t="s">
        <v>1107</v>
      </c>
      <c r="P35" s="1547">
        <v>7724</v>
      </c>
      <c r="Q35" s="1548">
        <v>1043.382638093434</v>
      </c>
      <c r="R35" s="1548">
        <f t="shared" si="3"/>
        <v>8767.3826380934333</v>
      </c>
      <c r="S35" s="1548">
        <f t="shared" si="5"/>
        <v>8767.3826380934333</v>
      </c>
      <c r="T35" s="1549">
        <v>0</v>
      </c>
      <c r="U35" s="1542">
        <f t="shared" si="6"/>
        <v>0</v>
      </c>
      <c r="V35" s="1550">
        <f t="shared" si="0"/>
        <v>0</v>
      </c>
      <c r="W35" s="1551">
        <f t="shared" si="1"/>
        <v>0</v>
      </c>
      <c r="X35" s="1545">
        <f t="shared" si="2"/>
        <v>0.11900731166449117</v>
      </c>
      <c r="Y35" s="1545">
        <f t="shared" si="7"/>
        <v>1.2104712422704245</v>
      </c>
      <c r="Z35" s="1552">
        <f t="shared" si="8"/>
        <v>0</v>
      </c>
      <c r="AA35" s="1552">
        <f t="shared" si="9"/>
        <v>0</v>
      </c>
      <c r="AB35" s="1552">
        <f t="shared" si="10"/>
        <v>0</v>
      </c>
    </row>
    <row r="36" spans="1:28" ht="15.75">
      <c r="A36" s="767"/>
      <c r="O36" s="1538" t="s">
        <v>1108</v>
      </c>
      <c r="P36" s="1547">
        <v>10152</v>
      </c>
      <c r="Q36" s="1548">
        <v>1653.6465092972339</v>
      </c>
      <c r="R36" s="1548">
        <f t="shared" si="3"/>
        <v>11805.646509297234</v>
      </c>
      <c r="S36" s="1548">
        <f t="shared" si="5"/>
        <v>11805.646509297234</v>
      </c>
      <c r="T36" s="1549">
        <v>0</v>
      </c>
      <c r="U36" s="1542">
        <f t="shared" si="6"/>
        <v>0</v>
      </c>
      <c r="V36" s="1550">
        <f t="shared" si="0"/>
        <v>0</v>
      </c>
      <c r="W36" s="1551">
        <f t="shared" si="1"/>
        <v>0</v>
      </c>
      <c r="X36" s="1545">
        <f t="shared" si="2"/>
        <v>0.14007250750689063</v>
      </c>
      <c r="Y36" s="1545">
        <f t="shared" si="7"/>
        <v>1.6299500302204366</v>
      </c>
      <c r="Z36" s="1552">
        <f t="shared" si="8"/>
        <v>0</v>
      </c>
      <c r="AA36" s="1552">
        <f t="shared" si="9"/>
        <v>0</v>
      </c>
      <c r="AB36" s="1552">
        <f t="shared" si="10"/>
        <v>0</v>
      </c>
    </row>
    <row r="37" spans="1:28" ht="15.75">
      <c r="A37" s="767"/>
      <c r="B37" s="1576" t="s">
        <v>1109</v>
      </c>
      <c r="C37" s="1576"/>
      <c r="D37" s="1577"/>
      <c r="E37" s="1577"/>
      <c r="O37" s="1538" t="s">
        <v>1110</v>
      </c>
      <c r="P37" s="1547">
        <v>7967</v>
      </c>
      <c r="Q37" s="1548">
        <v>1826.7160516863926</v>
      </c>
      <c r="R37" s="1548">
        <f t="shared" si="3"/>
        <v>9793.7160516863933</v>
      </c>
      <c r="S37" s="1548">
        <f t="shared" si="5"/>
        <v>9793.7160516863933</v>
      </c>
      <c r="T37" s="1549">
        <v>0</v>
      </c>
      <c r="U37" s="1542">
        <f t="shared" si="6"/>
        <v>0</v>
      </c>
      <c r="V37" s="1550">
        <f t="shared" si="0"/>
        <v>0</v>
      </c>
      <c r="W37" s="1551">
        <f t="shared" si="1"/>
        <v>0</v>
      </c>
      <c r="X37" s="1545">
        <f t="shared" si="2"/>
        <v>0.18651919680393919</v>
      </c>
      <c r="Y37" s="1545">
        <f t="shared" si="7"/>
        <v>1.3521722645045444</v>
      </c>
      <c r="Z37" s="1552">
        <f t="shared" si="8"/>
        <v>0</v>
      </c>
      <c r="AA37" s="1552">
        <f t="shared" si="9"/>
        <v>0</v>
      </c>
      <c r="AB37" s="1552">
        <f t="shared" si="10"/>
        <v>0</v>
      </c>
    </row>
    <row r="38" spans="1:28" ht="15.75">
      <c r="A38" s="767"/>
      <c r="B38" s="1500" t="s">
        <v>1111</v>
      </c>
      <c r="C38" s="1500"/>
      <c r="D38" s="1501"/>
      <c r="E38" s="1571"/>
      <c r="O38" s="1538" t="s">
        <v>1112</v>
      </c>
      <c r="P38" s="1547">
        <v>9691</v>
      </c>
      <c r="Q38" s="1548">
        <v>3203.4141560818189</v>
      </c>
      <c r="R38" s="1548">
        <f t="shared" si="3"/>
        <v>12894.414156081819</v>
      </c>
      <c r="S38" s="1548">
        <f t="shared" si="5"/>
        <v>12894.414156081819</v>
      </c>
      <c r="T38" s="1549">
        <v>0</v>
      </c>
      <c r="U38" s="1542">
        <f t="shared" si="6"/>
        <v>0</v>
      </c>
      <c r="V38" s="1550">
        <f t="shared" si="0"/>
        <v>0</v>
      </c>
      <c r="W38" s="1551">
        <f t="shared" si="1"/>
        <v>0</v>
      </c>
      <c r="X38" s="1545">
        <f t="shared" si="2"/>
        <v>0.24843425356947191</v>
      </c>
      <c r="Y38" s="1545">
        <f t="shared" si="7"/>
        <v>1.7802710530786086</v>
      </c>
      <c r="Z38" s="1552">
        <f t="shared" si="8"/>
        <v>0</v>
      </c>
      <c r="AA38" s="1552">
        <f t="shared" si="9"/>
        <v>0</v>
      </c>
      <c r="AB38" s="1552">
        <f t="shared" si="10"/>
        <v>0</v>
      </c>
    </row>
    <row r="39" spans="1:28" ht="15.75">
      <c r="A39" s="767"/>
      <c r="B39" s="1512" t="s">
        <v>1113</v>
      </c>
      <c r="C39" s="1512"/>
      <c r="D39" s="1726">
        <v>0.33</v>
      </c>
      <c r="E39" s="1726">
        <v>0.33</v>
      </c>
      <c r="F39" s="5" t="s">
        <v>1224</v>
      </c>
      <c r="O39" s="1538" t="s">
        <v>1114</v>
      </c>
      <c r="P39" s="1547">
        <v>6136</v>
      </c>
      <c r="Q39" s="1548">
        <v>10216.403262371867</v>
      </c>
      <c r="R39" s="1548">
        <f t="shared" si="3"/>
        <v>16352.403262371867</v>
      </c>
      <c r="S39" s="1548">
        <f t="shared" si="5"/>
        <v>16352.403262371867</v>
      </c>
      <c r="T39" s="1549">
        <v>0</v>
      </c>
      <c r="U39" s="1542">
        <f t="shared" si="6"/>
        <v>0</v>
      </c>
      <c r="V39" s="1550">
        <f t="shared" si="0"/>
        <v>0</v>
      </c>
      <c r="W39" s="1551">
        <f t="shared" si="1"/>
        <v>0</v>
      </c>
      <c r="X39" s="1545">
        <f t="shared" si="2"/>
        <v>0.62476463541481964</v>
      </c>
      <c r="Y39" s="1545">
        <f t="shared" si="7"/>
        <v>2.257699328087575</v>
      </c>
      <c r="Z39" s="1552">
        <f t="shared" si="8"/>
        <v>0</v>
      </c>
      <c r="AA39" s="1552">
        <f t="shared" si="9"/>
        <v>0</v>
      </c>
      <c r="AB39" s="1552">
        <f t="shared" si="10"/>
        <v>0</v>
      </c>
    </row>
    <row r="40" spans="1:28" ht="15.75">
      <c r="A40" s="767"/>
      <c r="B40" s="1572" t="s">
        <v>1115</v>
      </c>
      <c r="C40" s="1572"/>
      <c r="D40" s="1629">
        <v>0.24</v>
      </c>
      <c r="E40" s="1629">
        <v>0.23</v>
      </c>
      <c r="O40" s="1553" t="s">
        <v>1116</v>
      </c>
      <c r="P40" s="1554">
        <v>6034</v>
      </c>
      <c r="Q40" s="1555">
        <v>1417.3102570989925</v>
      </c>
      <c r="R40" s="1555">
        <f t="shared" si="3"/>
        <v>7451.3102570989922</v>
      </c>
      <c r="S40" s="1555">
        <f t="shared" si="5"/>
        <v>7451.3102570989922</v>
      </c>
      <c r="T40" s="1556">
        <v>0</v>
      </c>
      <c r="U40" s="1542">
        <f t="shared" si="6"/>
        <v>0</v>
      </c>
      <c r="V40" s="1550">
        <f t="shared" si="0"/>
        <v>0</v>
      </c>
      <c r="W40" s="1551">
        <f t="shared" si="1"/>
        <v>0</v>
      </c>
      <c r="X40" s="1557">
        <f t="shared" si="2"/>
        <v>0.19020953472561372</v>
      </c>
      <c r="Y40" s="1557">
        <f t="shared" si="7"/>
        <v>1.0287673249555338</v>
      </c>
      <c r="Z40" s="1552">
        <f t="shared" si="8"/>
        <v>0</v>
      </c>
      <c r="AA40" s="1558">
        <f t="shared" si="9"/>
        <v>0</v>
      </c>
      <c r="AB40" s="1558">
        <f t="shared" si="10"/>
        <v>0</v>
      </c>
    </row>
    <row r="41" spans="1:28" ht="15.75">
      <c r="A41" s="767"/>
      <c r="B41" s="1572" t="s">
        <v>1117</v>
      </c>
      <c r="C41" s="1572"/>
      <c r="D41" s="1629">
        <v>0.03</v>
      </c>
      <c r="E41" s="1629">
        <v>0.03</v>
      </c>
      <c r="O41" s="1538" t="s">
        <v>1118</v>
      </c>
      <c r="P41" s="1547">
        <v>8512</v>
      </c>
      <c r="Q41" s="1548">
        <v>2603.8851528305713</v>
      </c>
      <c r="R41" s="1548">
        <f t="shared" si="3"/>
        <v>11115.885152830571</v>
      </c>
      <c r="S41" s="1548">
        <f t="shared" si="5"/>
        <v>11115.885152830571</v>
      </c>
      <c r="T41" s="1559">
        <v>0</v>
      </c>
      <c r="U41" s="1542">
        <f t="shared" si="6"/>
        <v>0</v>
      </c>
      <c r="V41" s="1550">
        <f t="shared" si="0"/>
        <v>0</v>
      </c>
      <c r="W41" s="1551">
        <f t="shared" si="1"/>
        <v>0</v>
      </c>
      <c r="X41" s="1560">
        <f t="shared" si="2"/>
        <v>0.23424901544322926</v>
      </c>
      <c r="Y41" s="1560">
        <f t="shared" si="7"/>
        <v>1.5347179272659452</v>
      </c>
      <c r="Z41" s="1552">
        <f t="shared" si="8"/>
        <v>0</v>
      </c>
      <c r="AA41" s="1552">
        <f t="shared" si="9"/>
        <v>0</v>
      </c>
      <c r="AB41" s="1552">
        <f t="shared" si="10"/>
        <v>0</v>
      </c>
    </row>
    <row r="42" spans="1:28" ht="15.75">
      <c r="A42" s="768"/>
      <c r="B42" s="1572" t="s">
        <v>1119</v>
      </c>
      <c r="C42" s="1572"/>
      <c r="D42" s="1629">
        <v>0.12</v>
      </c>
      <c r="E42" s="1629">
        <v>0.12</v>
      </c>
      <c r="O42" s="1189" t="s">
        <v>1120</v>
      </c>
      <c r="P42" s="616"/>
      <c r="Q42" s="594"/>
      <c r="R42" s="1861">
        <f>IF(OR(AB42=0,T42=0),0,AB42/T42)</f>
        <v>7242.9499619081098</v>
      </c>
      <c r="S42" s="594"/>
      <c r="T42" s="1862">
        <f>SUM(T14:T41)</f>
        <v>278</v>
      </c>
      <c r="U42" s="1863"/>
      <c r="V42" s="1864"/>
      <c r="W42" s="1863"/>
      <c r="X42" s="584"/>
      <c r="Y42" s="584"/>
      <c r="Z42" s="1865">
        <f>SUM(Z14:Z41)</f>
        <v>0</v>
      </c>
      <c r="AA42" s="1865">
        <f>SUM(AA14:AA41)</f>
        <v>2013540.0894104545</v>
      </c>
      <c r="AB42" s="1865">
        <f>SUM(AB14:AB41)</f>
        <v>2013540.0894104545</v>
      </c>
    </row>
    <row r="43" spans="1:28" ht="15.75">
      <c r="A43" s="584"/>
      <c r="B43" s="5"/>
      <c r="C43" s="5"/>
      <c r="D43" s="5"/>
      <c r="E43" s="5"/>
      <c r="H43" s="1649"/>
      <c r="I43" s="1648"/>
      <c r="J43" s="1649"/>
      <c r="K43" s="1654"/>
      <c r="L43" s="1649"/>
      <c r="M43" s="1648"/>
      <c r="O43" s="595"/>
      <c r="P43" s="596"/>
      <c r="Q43" s="597"/>
      <c r="R43" s="597"/>
      <c r="S43" s="597"/>
      <c r="T43" s="598"/>
      <c r="U43" s="598"/>
      <c r="V43" s="598"/>
      <c r="W43" s="598"/>
      <c r="X43" s="584"/>
      <c r="Y43" s="584"/>
      <c r="Z43" s="599">
        <f>IF(Z42=0,0,IF(Z42/4&gt;500000,"Monthly","Qtrly"))</f>
        <v>0</v>
      </c>
      <c r="AA43" s="600"/>
      <c r="AB43" s="600"/>
    </row>
    <row r="44" spans="1:28" ht="15.75" hidden="1" outlineLevel="1">
      <c r="A44" s="584"/>
      <c r="B44" s="1601" t="s">
        <v>1121</v>
      </c>
      <c r="C44" s="1601"/>
      <c r="D44" s="1602"/>
      <c r="O44" s="595"/>
      <c r="P44" s="596"/>
      <c r="Q44" s="597"/>
      <c r="R44" s="597"/>
      <c r="S44" s="597"/>
      <c r="T44" s="598"/>
      <c r="U44" s="598"/>
      <c r="V44" s="598"/>
      <c r="W44" s="598"/>
      <c r="X44" s="584"/>
      <c r="Y44" s="584"/>
      <c r="Z44" s="599"/>
      <c r="AA44" s="600"/>
      <c r="AB44" s="600"/>
    </row>
    <row r="45" spans="1:28" ht="15.75" hidden="1" outlineLevel="1">
      <c r="A45" s="584"/>
      <c r="B45" s="1603" t="s">
        <v>1122</v>
      </c>
      <c r="C45" s="1603"/>
      <c r="D45" s="1722">
        <f>+J130</f>
        <v>150</v>
      </c>
      <c r="E45" s="1"/>
      <c r="F45" s="1637" t="s">
        <v>1123</v>
      </c>
      <c r="V45" s="598"/>
      <c r="W45" s="598"/>
      <c r="X45" s="584"/>
      <c r="Y45" s="584"/>
      <c r="Z45" s="599"/>
      <c r="AA45" s="600"/>
      <c r="AB45" s="600"/>
    </row>
    <row r="46" spans="1:28" ht="15.75" hidden="1" outlineLevel="1">
      <c r="A46" s="584"/>
      <c r="B46" s="1600" t="s">
        <v>1124</v>
      </c>
      <c r="C46" s="1600"/>
      <c r="D46" s="1723">
        <f>+J165</f>
        <v>327</v>
      </c>
      <c r="E46" s="5"/>
      <c r="F46" t="s">
        <v>1125</v>
      </c>
      <c r="I46" s="597"/>
      <c r="V46" s="598"/>
      <c r="W46" s="598"/>
      <c r="X46" s="584"/>
      <c r="Y46" s="584"/>
      <c r="Z46" s="599"/>
      <c r="AA46" s="600"/>
      <c r="AB46" s="600"/>
    </row>
    <row r="47" spans="1:28" ht="15.75" hidden="1" outlineLevel="1">
      <c r="A47" s="584"/>
      <c r="B47" s="1604"/>
      <c r="C47" s="1604"/>
      <c r="D47" s="1582">
        <f>SUM(D45:D46)</f>
        <v>477</v>
      </c>
      <c r="E47" s="5"/>
      <c r="F47" s="1"/>
      <c r="I47" s="597"/>
      <c r="V47" s="598"/>
      <c r="W47" s="598"/>
      <c r="X47" s="584"/>
      <c r="Y47" s="584"/>
      <c r="Z47" s="599"/>
      <c r="AA47" s="600"/>
      <c r="AB47" s="600"/>
    </row>
    <row r="48" spans="1:28" ht="15.75" hidden="1" outlineLevel="1">
      <c r="A48" s="584"/>
      <c r="B48" s="1608"/>
      <c r="C48" s="1608"/>
      <c r="D48" s="1609"/>
      <c r="E48" s="5"/>
      <c r="F48" s="1"/>
      <c r="I48" s="597"/>
      <c r="V48" s="598"/>
      <c r="W48" s="598"/>
      <c r="X48" s="584"/>
      <c r="Y48" s="584"/>
      <c r="Z48" s="599"/>
      <c r="AA48" s="600"/>
      <c r="AB48" s="600"/>
    </row>
    <row r="49" spans="1:34" ht="15.75" hidden="1" outlineLevel="1">
      <c r="A49" s="584"/>
      <c r="B49" s="1650" t="s">
        <v>1126</v>
      </c>
      <c r="C49" s="1650"/>
      <c r="D49" s="1650"/>
      <c r="E49" s="5"/>
      <c r="F49" s="1"/>
      <c r="I49" s="597"/>
      <c r="V49" s="598"/>
      <c r="W49" s="598"/>
      <c r="X49" s="584"/>
      <c r="Y49" s="584"/>
      <c r="Z49" s="599"/>
      <c r="AA49" s="600"/>
      <c r="AB49" s="600"/>
    </row>
    <row r="50" spans="1:34" ht="15.75" hidden="1" outlineLevel="1">
      <c r="A50" s="584"/>
      <c r="B50" s="1646" t="s">
        <v>1127</v>
      </c>
      <c r="C50" s="1647"/>
      <c r="D50" s="1647"/>
      <c r="E50" s="5"/>
      <c r="F50" s="1"/>
      <c r="I50" s="597"/>
      <c r="V50" s="598"/>
      <c r="W50" s="598"/>
      <c r="X50" s="584"/>
      <c r="Y50" s="584"/>
      <c r="Z50" s="599"/>
      <c r="AA50" s="600"/>
      <c r="AB50" s="600"/>
    </row>
    <row r="51" spans="1:34" ht="15.75" hidden="1" outlineLevel="1">
      <c r="A51" s="584"/>
      <c r="B51" s="1648"/>
      <c r="C51" s="1649"/>
      <c r="D51" s="1648"/>
      <c r="E51" s="5"/>
      <c r="F51" s="1"/>
      <c r="I51" s="5"/>
      <c r="J51" s="5"/>
      <c r="K51" s="5"/>
      <c r="L51" s="5"/>
      <c r="M51" s="5"/>
      <c r="V51" s="598"/>
      <c r="W51" s="598"/>
      <c r="X51" s="584"/>
      <c r="Y51" s="584"/>
      <c r="Z51" s="599"/>
      <c r="AA51" s="600"/>
      <c r="AB51" s="600"/>
    </row>
    <row r="52" spans="1:34" ht="15.75" hidden="1" outlineLevel="1">
      <c r="A52" s="584"/>
      <c r="B52" s="1662" t="s">
        <v>1128</v>
      </c>
      <c r="C52" s="1649"/>
      <c r="D52" s="1663">
        <v>500</v>
      </c>
      <c r="E52" s="5"/>
      <c r="F52" s="1"/>
      <c r="I52" s="5"/>
      <c r="J52" s="5"/>
      <c r="K52" s="5"/>
      <c r="L52" s="5"/>
      <c r="M52" s="5"/>
      <c r="V52" s="598"/>
      <c r="W52" s="598"/>
      <c r="X52" s="584"/>
      <c r="Y52" s="584"/>
      <c r="Z52" s="599"/>
      <c r="AA52" s="600"/>
      <c r="AB52" s="600"/>
    </row>
    <row r="53" spans="1:34" ht="15.75" hidden="1" outlineLevel="1">
      <c r="A53" s="584"/>
      <c r="B53" s="1662" t="s">
        <v>1129</v>
      </c>
      <c r="C53" s="1649"/>
      <c r="D53" s="1663">
        <v>250</v>
      </c>
      <c r="E53" s="5"/>
      <c r="F53" s="1"/>
      <c r="I53" s="5"/>
      <c r="J53" s="5"/>
      <c r="K53" s="5"/>
      <c r="L53" s="5"/>
      <c r="M53" s="5"/>
      <c r="V53" s="598"/>
      <c r="W53" s="598"/>
      <c r="X53" s="584"/>
      <c r="Y53" s="584"/>
      <c r="Z53" s="599"/>
      <c r="AA53" s="600"/>
      <c r="AB53" s="600"/>
    </row>
    <row r="54" spans="1:34" ht="15.75" hidden="1" outlineLevel="1">
      <c r="A54" s="584"/>
      <c r="B54" s="1662" t="s">
        <v>1130</v>
      </c>
      <c r="C54" s="1649"/>
      <c r="D54" s="1724">
        <f>SUM(B59,B61,B63,B65)</f>
        <v>318</v>
      </c>
      <c r="E54" s="1725"/>
      <c r="F54" s="1"/>
      <c r="I54" s="5"/>
      <c r="J54" s="5"/>
      <c r="K54" s="5"/>
      <c r="L54" s="5"/>
      <c r="M54" s="5"/>
      <c r="V54" s="598"/>
      <c r="W54" s="598"/>
      <c r="X54" s="584"/>
      <c r="Y54" s="584"/>
      <c r="Z54" s="599"/>
      <c r="AA54" s="600"/>
      <c r="AB54" s="600"/>
    </row>
    <row r="55" spans="1:34" ht="15.75" hidden="1" outlineLevel="1">
      <c r="A55" s="584"/>
      <c r="B55" s="1648"/>
      <c r="C55" s="1649"/>
      <c r="D55" s="1648"/>
      <c r="E55" s="5"/>
      <c r="F55" s="1"/>
      <c r="I55" s="5"/>
      <c r="J55" s="5"/>
      <c r="K55" s="5"/>
      <c r="L55" s="5"/>
      <c r="M55" s="5"/>
      <c r="V55" s="598"/>
      <c r="W55" s="598"/>
      <c r="X55" s="584"/>
      <c r="Y55" s="584"/>
      <c r="Z55" s="599"/>
      <c r="AA55" s="600"/>
      <c r="AB55" s="600"/>
    </row>
    <row r="56" spans="1:34" ht="15.75" hidden="1" outlineLevel="1">
      <c r="A56" s="584"/>
      <c r="B56" s="1689" t="s">
        <v>1131</v>
      </c>
      <c r="C56" s="1656"/>
      <c r="D56" s="1655"/>
      <c r="E56" s="1504"/>
      <c r="F56" s="1"/>
      <c r="G56" s="5" t="s">
        <v>504</v>
      </c>
      <c r="J56" s="5"/>
      <c r="K56" s="5">
        <v>500</v>
      </c>
      <c r="L56" s="5"/>
      <c r="M56" s="5"/>
      <c r="N56" s="5" t="s">
        <v>1132</v>
      </c>
      <c r="V56" s="598"/>
      <c r="W56" s="598"/>
      <c r="X56" s="584"/>
      <c r="Y56" s="584"/>
      <c r="Z56" s="599"/>
      <c r="AA56" s="600"/>
      <c r="AB56" s="600"/>
    </row>
    <row r="57" spans="1:34" ht="15.75" hidden="1" outlineLevel="1">
      <c r="A57" s="584"/>
      <c r="B57" s="1650" t="s">
        <v>1133</v>
      </c>
      <c r="C57" s="1656"/>
      <c r="D57" s="1650" t="s">
        <v>1134</v>
      </c>
      <c r="E57" s="1655"/>
      <c r="F57" s="5"/>
      <c r="G57" s="1648"/>
      <c r="I57" s="5" t="s">
        <v>1135</v>
      </c>
      <c r="J57" s="5" t="s">
        <v>1136</v>
      </c>
      <c r="K57" s="5" t="s">
        <v>1137</v>
      </c>
      <c r="L57" s="5"/>
      <c r="M57" s="5"/>
      <c r="N57" s="5" t="s">
        <v>1138</v>
      </c>
      <c r="V57" s="598"/>
      <c r="W57" s="598"/>
      <c r="X57" s="584"/>
      <c r="Y57" s="584"/>
      <c r="Z57" s="599"/>
      <c r="AA57" s="600"/>
      <c r="AB57" s="600"/>
    </row>
    <row r="58" spans="1:34" ht="15.75" hidden="1" outlineLevel="1">
      <c r="A58" s="584"/>
      <c r="B58" s="1647" t="s">
        <v>1139</v>
      </c>
      <c r="C58" s="1664" t="s">
        <v>1140</v>
      </c>
      <c r="D58" s="1664" t="s">
        <v>1141</v>
      </c>
      <c r="E58" s="1664" t="s">
        <v>1142</v>
      </c>
      <c r="F58" s="5"/>
      <c r="G58" s="1648"/>
      <c r="I58" s="1727" t="s">
        <v>1143</v>
      </c>
      <c r="J58" s="1727" t="s">
        <v>1144</v>
      </c>
      <c r="K58" s="1727" t="s">
        <v>1145</v>
      </c>
      <c r="L58" s="5"/>
      <c r="M58" s="5"/>
      <c r="N58" s="1727" t="s">
        <v>1146</v>
      </c>
      <c r="V58" s="598"/>
      <c r="W58" s="598"/>
      <c r="X58" s="584"/>
      <c r="Y58" s="584"/>
      <c r="Z58" s="599"/>
      <c r="AA58" s="600"/>
      <c r="AB58" s="600"/>
    </row>
    <row r="59" spans="1:34" ht="15.75" hidden="1" outlineLevel="1">
      <c r="A59" s="584"/>
      <c r="B59" s="1652">
        <v>45</v>
      </c>
      <c r="C59" s="1652">
        <v>0</v>
      </c>
      <c r="D59" s="1653">
        <v>10</v>
      </c>
      <c r="E59" s="1652">
        <v>15</v>
      </c>
      <c r="F59" s="5"/>
      <c r="G59" s="1646" t="s">
        <v>1139</v>
      </c>
      <c r="H59" s="1732">
        <v>0.5</v>
      </c>
      <c r="I59" s="1729">
        <v>0.15</v>
      </c>
      <c r="J59" s="1729">
        <v>0.15</v>
      </c>
      <c r="K59" s="6">
        <f>+J59*$K$56</f>
        <v>75</v>
      </c>
      <c r="L59" s="5"/>
      <c r="M59" s="5">
        <v>15</v>
      </c>
      <c r="V59" s="598"/>
      <c r="W59" s="598"/>
      <c r="X59" s="584"/>
      <c r="Y59" s="584"/>
      <c r="Z59" s="599"/>
      <c r="AA59" s="600"/>
      <c r="AB59" s="600"/>
    </row>
    <row r="60" spans="1:34" ht="15.75" hidden="1" outlineLevel="1">
      <c r="A60" s="584"/>
      <c r="B60" s="1647" t="s">
        <v>1147</v>
      </c>
      <c r="C60" s="1664" t="s">
        <v>1148</v>
      </c>
      <c r="D60" s="1664" t="s">
        <v>1149</v>
      </c>
      <c r="E60" s="1648"/>
      <c r="F60" s="5"/>
      <c r="G60" s="1730" t="s">
        <v>1150</v>
      </c>
      <c r="H60" s="1732">
        <v>0.24</v>
      </c>
      <c r="I60" s="1729">
        <v>0.2</v>
      </c>
      <c r="J60" s="1729">
        <v>0.17</v>
      </c>
      <c r="K60" s="6">
        <f>+J60*$K$56</f>
        <v>85</v>
      </c>
      <c r="L60" s="5"/>
      <c r="M60" s="5">
        <v>17</v>
      </c>
      <c r="V60" s="598"/>
      <c r="W60" s="598"/>
      <c r="X60" s="584"/>
      <c r="Y60" s="584"/>
      <c r="Z60" s="599"/>
      <c r="AA60" s="600"/>
      <c r="AB60" s="600"/>
    </row>
    <row r="61" spans="1:34" ht="15.75" hidden="1" outlineLevel="1">
      <c r="A61" s="584"/>
      <c r="B61" s="1652">
        <v>53</v>
      </c>
      <c r="C61" s="1652">
        <v>0</v>
      </c>
      <c r="D61" s="1652">
        <v>0</v>
      </c>
      <c r="E61" s="5"/>
      <c r="F61" s="1648"/>
      <c r="G61" s="1730" t="s">
        <v>1147</v>
      </c>
      <c r="H61" s="1732">
        <v>0.12</v>
      </c>
      <c r="I61" s="1729">
        <v>0.01</v>
      </c>
      <c r="J61" s="1729">
        <v>0.01</v>
      </c>
      <c r="K61" s="6">
        <f>+J61*$K$56</f>
        <v>5</v>
      </c>
      <c r="L61" s="5"/>
      <c r="M61" s="5">
        <v>4</v>
      </c>
      <c r="V61" s="598"/>
      <c r="W61" s="598"/>
      <c r="X61" s="584"/>
      <c r="Y61" s="584"/>
      <c r="Z61" s="599"/>
      <c r="AA61" s="600"/>
      <c r="AB61" s="600"/>
    </row>
    <row r="62" spans="1:34" ht="15.75" hidden="1" outlineLevel="1">
      <c r="A62" s="584"/>
      <c r="B62" s="1647" t="s">
        <v>1150</v>
      </c>
      <c r="C62" s="1664" t="s">
        <v>1151</v>
      </c>
      <c r="D62" s="1648"/>
      <c r="E62" s="5"/>
      <c r="F62" s="1648"/>
      <c r="G62" s="1731" t="s">
        <v>1152</v>
      </c>
      <c r="H62" s="1732">
        <v>0.5</v>
      </c>
      <c r="I62" s="1729">
        <v>0.5</v>
      </c>
      <c r="J62" s="1729">
        <v>0.5</v>
      </c>
      <c r="K62" s="6">
        <f>+J62*$K$56</f>
        <v>250</v>
      </c>
      <c r="L62" s="5"/>
      <c r="M62" s="5"/>
      <c r="N62" s="1728">
        <v>0.8</v>
      </c>
      <c r="V62" s="598"/>
      <c r="W62" s="598"/>
      <c r="X62" s="584"/>
      <c r="Y62" s="584"/>
      <c r="Z62" s="599"/>
      <c r="AA62" s="600"/>
      <c r="AB62" s="600"/>
      <c r="AH62" s="5">
        <v>0.64</v>
      </c>
    </row>
    <row r="63" spans="1:34" ht="15.75" hidden="1" outlineLevel="1">
      <c r="A63" s="584"/>
      <c r="B63" s="1652">
        <v>30</v>
      </c>
      <c r="C63" s="1652">
        <v>20</v>
      </c>
      <c r="D63" s="1648"/>
      <c r="E63" s="5"/>
      <c r="F63" s="1648"/>
      <c r="G63" s="5"/>
      <c r="I63" s="5"/>
      <c r="J63" s="5"/>
      <c r="K63" s="6">
        <f>SUM(K59:K62)</f>
        <v>415</v>
      </c>
      <c r="L63" s="5"/>
      <c r="M63" s="5"/>
      <c r="V63" s="598"/>
      <c r="W63" s="598"/>
      <c r="X63" s="584"/>
      <c r="Y63" s="584"/>
      <c r="Z63" s="599"/>
      <c r="AA63" s="600"/>
      <c r="AB63" s="600"/>
    </row>
    <row r="64" spans="1:34" ht="15.75" hidden="1" outlineLevel="1">
      <c r="A64" s="584"/>
      <c r="B64" s="1647" t="s">
        <v>1152</v>
      </c>
      <c r="C64" s="1651"/>
      <c r="D64" s="1651"/>
      <c r="E64" s="5"/>
      <c r="F64" s="1651"/>
      <c r="G64" s="5"/>
      <c r="I64" s="1728">
        <v>0.06</v>
      </c>
      <c r="J64" s="5"/>
      <c r="K64" s="5"/>
      <c r="L64" s="5"/>
      <c r="M64" s="5"/>
      <c r="V64" s="598"/>
      <c r="W64" s="598"/>
      <c r="X64" s="584"/>
      <c r="Y64" s="584"/>
      <c r="Z64" s="599"/>
      <c r="AA64" s="600"/>
      <c r="AB64" s="600"/>
    </row>
    <row r="65" spans="1:28" ht="15.75" hidden="1" outlineLevel="1">
      <c r="A65" s="584"/>
      <c r="B65" s="1652">
        <v>190</v>
      </c>
      <c r="C65" s="1648"/>
      <c r="D65" s="1654"/>
      <c r="E65" s="5"/>
      <c r="F65" s="1648"/>
      <c r="G65" s="5" t="s">
        <v>1153</v>
      </c>
      <c r="H65" s="5"/>
      <c r="I65" s="5"/>
      <c r="J65" s="5"/>
      <c r="K65" s="5"/>
      <c r="L65" s="5"/>
      <c r="M65" s="5"/>
      <c r="V65" s="598"/>
      <c r="W65" s="598"/>
      <c r="X65" s="584"/>
      <c r="Y65" s="584"/>
      <c r="Z65" s="599"/>
      <c r="AA65" s="600"/>
      <c r="AB65" s="600"/>
    </row>
    <row r="66" spans="1:28" ht="15.75" hidden="1" outlineLevel="1">
      <c r="A66" s="584"/>
      <c r="B66" s="1655"/>
      <c r="C66" s="1655"/>
      <c r="D66" s="1657"/>
      <c r="E66" s="1655"/>
      <c r="G66" s="5"/>
      <c r="H66" s="5"/>
      <c r="I66" s="5"/>
      <c r="J66" s="5"/>
      <c r="K66" s="5"/>
      <c r="L66" s="5"/>
      <c r="M66" s="5"/>
      <c r="V66" s="598"/>
      <c r="W66" s="598"/>
      <c r="X66" s="584"/>
      <c r="Y66" s="584"/>
      <c r="Z66" s="599"/>
      <c r="AA66" s="600"/>
      <c r="AB66" s="600"/>
    </row>
    <row r="67" spans="1:28" ht="15.75" hidden="1" outlineLevel="1">
      <c r="A67" s="584"/>
      <c r="B67" s="1660" t="s">
        <v>1154</v>
      </c>
      <c r="C67" s="1660"/>
      <c r="D67" s="1660"/>
      <c r="E67" s="1660"/>
      <c r="G67" s="5"/>
      <c r="H67" s="5"/>
      <c r="I67" s="5"/>
      <c r="J67" s="5"/>
      <c r="K67" s="5"/>
      <c r="L67" s="5"/>
      <c r="M67" s="5"/>
      <c r="V67" s="598"/>
      <c r="W67" s="598"/>
      <c r="X67" s="584"/>
      <c r="Y67" s="584"/>
      <c r="Z67" s="599"/>
      <c r="AA67" s="600"/>
      <c r="AB67" s="600"/>
    </row>
    <row r="68" spans="1:28" ht="15.75" hidden="1" outlineLevel="1">
      <c r="A68" s="584"/>
      <c r="B68" s="1664" t="s">
        <v>1155</v>
      </c>
      <c r="C68" s="1664" t="s">
        <v>1156</v>
      </c>
      <c r="D68" s="1664" t="s">
        <v>1157</v>
      </c>
      <c r="E68" s="1664" t="s">
        <v>1158</v>
      </c>
      <c r="G68" s="5"/>
      <c r="H68" s="5"/>
      <c r="I68" s="5"/>
      <c r="J68" s="5"/>
      <c r="K68" s="5"/>
      <c r="L68" s="5"/>
      <c r="M68" s="5"/>
      <c r="V68" s="598"/>
      <c r="W68" s="598"/>
      <c r="X68" s="584"/>
      <c r="Y68" s="584"/>
      <c r="Z68" s="599"/>
      <c r="AA68" s="600"/>
      <c r="AB68" s="600"/>
    </row>
    <row r="69" spans="1:28" ht="15.75" hidden="1" outlineLevel="1">
      <c r="A69" s="584"/>
      <c r="B69" s="1652">
        <v>0</v>
      </c>
      <c r="C69" s="1652">
        <v>1</v>
      </c>
      <c r="D69" s="1653">
        <v>1</v>
      </c>
      <c r="E69" s="1652">
        <v>10</v>
      </c>
      <c r="G69" s="5"/>
      <c r="H69" s="5"/>
      <c r="I69" s="5"/>
      <c r="J69" s="5"/>
      <c r="K69" s="5"/>
      <c r="L69" s="5"/>
      <c r="M69" s="5"/>
      <c r="V69" s="598"/>
      <c r="W69" s="598"/>
      <c r="X69" s="584"/>
      <c r="Y69" s="584"/>
      <c r="Z69" s="599"/>
      <c r="AA69" s="600"/>
      <c r="AB69" s="600"/>
    </row>
    <row r="70" spans="1:28" ht="15.75" hidden="1" outlineLevel="1">
      <c r="A70" s="584"/>
      <c r="B70" s="1664" t="s">
        <v>1159</v>
      </c>
      <c r="C70" s="1648"/>
      <c r="D70" s="1648"/>
      <c r="E70" s="5"/>
      <c r="G70" s="5"/>
      <c r="H70" s="5"/>
      <c r="I70" s="5"/>
      <c r="J70" s="5"/>
      <c r="K70" s="5"/>
      <c r="L70" s="5"/>
      <c r="M70" s="5"/>
      <c r="V70" s="598"/>
      <c r="W70" s="598"/>
      <c r="X70" s="584"/>
      <c r="Y70" s="584"/>
      <c r="Z70" s="599"/>
      <c r="AA70" s="600"/>
      <c r="AB70" s="600"/>
    </row>
    <row r="71" spans="1:28" ht="15.75" hidden="1" outlineLevel="1">
      <c r="A71" s="584"/>
      <c r="B71" s="1652">
        <v>0</v>
      </c>
      <c r="C71" s="1649"/>
      <c r="D71" s="1648"/>
      <c r="E71" s="1648"/>
      <c r="F71" s="1648"/>
      <c r="G71" s="1648"/>
      <c r="H71" s="5"/>
      <c r="I71" s="5"/>
      <c r="J71" s="5"/>
      <c r="K71" s="5"/>
      <c r="L71" s="5"/>
      <c r="M71" s="5"/>
      <c r="V71" s="598"/>
      <c r="W71" s="598"/>
      <c r="X71" s="584"/>
      <c r="Y71" s="584"/>
      <c r="Z71" s="599"/>
      <c r="AA71" s="600"/>
      <c r="AB71" s="600"/>
    </row>
    <row r="72" spans="1:28" ht="15.75" hidden="1" outlineLevel="1">
      <c r="A72" s="584"/>
      <c r="B72" s="1655"/>
      <c r="C72" s="1655"/>
      <c r="D72" s="1655"/>
      <c r="E72" s="1655"/>
      <c r="F72" s="1655"/>
      <c r="G72" s="1655"/>
      <c r="H72" s="5"/>
      <c r="I72" s="5"/>
      <c r="J72" s="5"/>
      <c r="K72" s="5"/>
      <c r="L72" s="5"/>
      <c r="M72" s="5"/>
      <c r="V72" s="598"/>
      <c r="W72" s="598"/>
      <c r="X72" s="584"/>
      <c r="Y72" s="584"/>
      <c r="Z72" s="599"/>
      <c r="AA72" s="600"/>
      <c r="AB72" s="600"/>
    </row>
    <row r="73" spans="1:28" ht="15.75" hidden="1" outlineLevel="1">
      <c r="A73" s="584"/>
      <c r="B73" s="1646" t="s">
        <v>1160</v>
      </c>
      <c r="C73" s="1648"/>
      <c r="D73" s="1648"/>
      <c r="E73" s="1648"/>
      <c r="F73" s="1648"/>
      <c r="G73" s="1648"/>
      <c r="H73" s="5"/>
      <c r="I73" s="5"/>
      <c r="J73" s="5"/>
      <c r="K73" s="5"/>
      <c r="L73" s="5"/>
      <c r="M73" s="5"/>
      <c r="V73" s="598"/>
      <c r="W73" s="598"/>
      <c r="X73" s="584"/>
      <c r="Y73" s="584"/>
      <c r="Z73" s="599"/>
      <c r="AA73" s="600"/>
      <c r="AB73" s="600"/>
    </row>
    <row r="74" spans="1:28" ht="15.75" hidden="1" outlineLevel="1">
      <c r="A74" s="584"/>
      <c r="B74" s="1646" t="s">
        <v>1161</v>
      </c>
      <c r="C74" s="1648"/>
      <c r="D74" s="1648"/>
      <c r="E74" s="1648"/>
      <c r="F74" s="1649"/>
      <c r="G74" s="1648"/>
      <c r="H74" s="5"/>
      <c r="I74" s="5"/>
      <c r="J74" s="5"/>
      <c r="K74" s="5"/>
      <c r="L74" s="5"/>
      <c r="M74" s="5"/>
      <c r="V74" s="598"/>
      <c r="W74" s="598"/>
      <c r="X74" s="584"/>
      <c r="Y74" s="584"/>
      <c r="Z74" s="599"/>
      <c r="AA74" s="600"/>
      <c r="AB74" s="600"/>
    </row>
    <row r="75" spans="1:28" ht="15.75" hidden="1" outlineLevel="1">
      <c r="A75" s="584"/>
      <c r="B75" s="1646"/>
      <c r="C75" s="1648"/>
      <c r="D75" s="1648"/>
      <c r="E75" s="1648"/>
      <c r="F75" s="1649"/>
      <c r="G75" s="1648"/>
      <c r="H75" s="5"/>
      <c r="I75" s="5"/>
      <c r="J75" s="5"/>
      <c r="K75" s="5"/>
      <c r="L75" s="5"/>
      <c r="M75" s="5"/>
      <c r="V75" s="598"/>
      <c r="W75" s="598"/>
      <c r="X75" s="584"/>
      <c r="Y75" s="584"/>
      <c r="Z75" s="599"/>
      <c r="AA75" s="600"/>
      <c r="AB75" s="600"/>
    </row>
    <row r="76" spans="1:28" ht="15.75" hidden="1" outlineLevel="1">
      <c r="A76" s="584"/>
      <c r="E76" s="1661" t="s">
        <v>504</v>
      </c>
      <c r="F76" s="1661" t="s">
        <v>1162</v>
      </c>
      <c r="G76" s="1661" t="s">
        <v>1163</v>
      </c>
      <c r="H76" s="1661" t="s">
        <v>1152</v>
      </c>
      <c r="I76" s="1661" t="s">
        <v>1164</v>
      </c>
      <c r="J76" s="1661" t="s">
        <v>123</v>
      </c>
      <c r="K76" s="1661" t="s">
        <v>1165</v>
      </c>
      <c r="L76" s="5"/>
      <c r="M76" s="5"/>
      <c r="V76" s="598"/>
      <c r="W76" s="598"/>
      <c r="X76" s="584"/>
      <c r="Y76" s="584"/>
      <c r="Z76" s="599"/>
      <c r="AA76" s="600"/>
      <c r="AB76" s="600"/>
    </row>
    <row r="77" spans="1:28" ht="18.75" hidden="1" outlineLevel="1">
      <c r="A77" s="584"/>
      <c r="C77" s="1694" t="str">
        <f>+D13</f>
        <v>SYE 22</v>
      </c>
      <c r="E77" s="1658">
        <f>+D53</f>
        <v>250</v>
      </c>
      <c r="F77" s="1658">
        <f>B59</f>
        <v>45</v>
      </c>
      <c r="G77" s="1658">
        <f>B63-D59-C61-B71-E69</f>
        <v>10</v>
      </c>
      <c r="H77" s="1658">
        <f>B65-C63-D61-E59-D69-E69-B71</f>
        <v>144</v>
      </c>
      <c r="I77" s="1658">
        <f>B61-C59-C69-D69</f>
        <v>51</v>
      </c>
      <c r="J77" s="1665">
        <f>SUM(E77:I77)</f>
        <v>500</v>
      </c>
      <c r="K77" s="725">
        <f>+J77-D52</f>
        <v>0</v>
      </c>
      <c r="L77" s="5"/>
      <c r="M77" s="5"/>
      <c r="V77" s="598"/>
      <c r="W77" s="598"/>
      <c r="X77" s="584"/>
      <c r="Y77" s="584"/>
      <c r="Z77" s="599"/>
      <c r="AA77" s="600"/>
      <c r="AB77" s="600"/>
    </row>
    <row r="78" spans="1:28" ht="15.75" hidden="1" outlineLevel="1">
      <c r="A78" s="584"/>
      <c r="D78" s="1690" t="s">
        <v>1166</v>
      </c>
      <c r="E78" s="1691">
        <f t="shared" ref="E78:J78" si="13">+E77/$J$77</f>
        <v>0.5</v>
      </c>
      <c r="F78" s="1691">
        <f t="shared" si="13"/>
        <v>0.09</v>
      </c>
      <c r="G78" s="1691">
        <f t="shared" si="13"/>
        <v>0.02</v>
      </c>
      <c r="H78" s="1718">
        <f t="shared" si="13"/>
        <v>0.28799999999999998</v>
      </c>
      <c r="I78" s="1691">
        <f t="shared" si="13"/>
        <v>0.10199999999999999</v>
      </c>
      <c r="J78" s="1691">
        <f t="shared" si="13"/>
        <v>1</v>
      </c>
      <c r="L78" s="5"/>
      <c r="M78" s="5"/>
      <c r="V78" s="598"/>
      <c r="W78" s="598"/>
      <c r="X78" s="584"/>
      <c r="Y78" s="584"/>
      <c r="Z78" s="599"/>
      <c r="AA78" s="600"/>
      <c r="AB78" s="600"/>
    </row>
    <row r="79" spans="1:28" ht="15.75" hidden="1" outlineLevel="1">
      <c r="A79" s="584"/>
      <c r="D79" s="1690" t="s">
        <v>262</v>
      </c>
      <c r="E79" s="1692">
        <v>0</v>
      </c>
      <c r="F79" s="1692">
        <f>+D39</f>
        <v>0.33</v>
      </c>
      <c r="G79" s="1692">
        <f>+D40</f>
        <v>0.24</v>
      </c>
      <c r="H79" s="1692">
        <f>+D41</f>
        <v>0.03</v>
      </c>
      <c r="I79" s="1692">
        <f>+D42</f>
        <v>0.12</v>
      </c>
      <c r="J79" s="1651"/>
      <c r="L79" s="5"/>
      <c r="M79" s="5"/>
      <c r="V79" s="598"/>
      <c r="W79" s="598"/>
      <c r="X79" s="584"/>
      <c r="Y79" s="584"/>
      <c r="Z79" s="599"/>
      <c r="AA79" s="600"/>
      <c r="AB79" s="600"/>
    </row>
    <row r="80" spans="1:28" ht="15.75" hidden="1" outlineLevel="1">
      <c r="A80" s="584"/>
      <c r="E80" s="1659"/>
      <c r="F80" s="1659"/>
      <c r="G80" s="1659"/>
      <c r="H80" s="1659"/>
      <c r="I80" s="1659"/>
      <c r="J80" s="1651"/>
      <c r="L80" s="5"/>
      <c r="M80" s="5"/>
      <c r="V80" s="598"/>
      <c r="W80" s="598"/>
      <c r="X80" s="584"/>
      <c r="Y80" s="584"/>
      <c r="Z80" s="599"/>
      <c r="AA80" s="600"/>
      <c r="AB80" s="600"/>
    </row>
    <row r="81" spans="1:28" ht="15.75" hidden="1" outlineLevel="1">
      <c r="A81" s="584"/>
      <c r="B81" s="1" t="s">
        <v>1167</v>
      </c>
      <c r="E81" s="1686" t="s">
        <v>1168</v>
      </c>
      <c r="F81" s="1659"/>
      <c r="G81" s="1659"/>
      <c r="H81" s="1659"/>
      <c r="I81" s="1659"/>
      <c r="J81" s="1651"/>
      <c r="L81" s="5"/>
      <c r="M81" s="5"/>
      <c r="V81" s="598"/>
      <c r="W81" s="598"/>
      <c r="X81" s="584"/>
      <c r="Y81" s="584"/>
      <c r="Z81" s="599"/>
      <c r="AA81" s="600"/>
      <c r="AB81" s="600"/>
    </row>
    <row r="82" spans="1:28" ht="15.75" hidden="1" outlineLevel="1">
      <c r="A82" s="584"/>
      <c r="C82" s="1682" t="s">
        <v>1169</v>
      </c>
      <c r="D82" s="1"/>
      <c r="E82" s="1686" t="s">
        <v>1170</v>
      </c>
      <c r="F82" s="1686"/>
      <c r="G82" s="1686"/>
      <c r="H82" s="1686"/>
      <c r="I82" s="1686"/>
      <c r="J82" s="1647" t="s">
        <v>123</v>
      </c>
      <c r="L82" s="5"/>
      <c r="M82" s="5"/>
      <c r="V82" s="598"/>
      <c r="W82" s="598"/>
      <c r="X82" s="584"/>
      <c r="Y82" s="584"/>
      <c r="Z82" s="599"/>
      <c r="AA82" s="600"/>
      <c r="AB82" s="600"/>
    </row>
    <row r="83" spans="1:28" ht="15.75" hidden="1" outlineLevel="1">
      <c r="A83" s="584"/>
      <c r="B83" s="1" t="s">
        <v>1171</v>
      </c>
      <c r="C83" s="1682" t="s">
        <v>1172</v>
      </c>
      <c r="D83" s="1682" t="s">
        <v>306</v>
      </c>
      <c r="E83" s="1687">
        <f>+J77</f>
        <v>500</v>
      </c>
      <c r="F83" s="1688" t="s">
        <v>1173</v>
      </c>
      <c r="G83" s="1686"/>
      <c r="H83" s="1686"/>
      <c r="I83" s="1686"/>
      <c r="J83" s="1647" t="s">
        <v>1170</v>
      </c>
      <c r="L83" s="5"/>
      <c r="M83" s="5"/>
      <c r="V83" s="598"/>
      <c r="W83" s="598"/>
      <c r="X83" s="584"/>
      <c r="Y83" s="584"/>
      <c r="Z83" s="599"/>
      <c r="AA83" s="600"/>
      <c r="AB83" s="600"/>
    </row>
    <row r="84" spans="1:28" ht="15.75" hidden="1" outlineLevel="1">
      <c r="A84" s="584">
        <v>1</v>
      </c>
      <c r="B84" s="1747" t="str">
        <f>$B30</f>
        <v xml:space="preserve">Carson City </v>
      </c>
      <c r="C84" s="1667"/>
      <c r="D84" s="766">
        <f t="shared" ref="D84:D89" si="14">+D30</f>
        <v>7442.2914000000001</v>
      </c>
      <c r="E84" s="1708">
        <f>IF($C84="y",$J$77*$D84,0)</f>
        <v>0</v>
      </c>
      <c r="F84" s="1708">
        <f t="shared" ref="F84:I90" si="15">IF($C84="y",F$77*F$79*$D84,0)</f>
        <v>0</v>
      </c>
      <c r="G84" s="1708">
        <f t="shared" si="15"/>
        <v>0</v>
      </c>
      <c r="H84" s="1708">
        <f t="shared" si="15"/>
        <v>0</v>
      </c>
      <c r="I84" s="1709">
        <f t="shared" si="15"/>
        <v>0</v>
      </c>
      <c r="J84" s="1678">
        <f t="shared" ref="J84:J91" si="16">SUM(E84:I84)</f>
        <v>0</v>
      </c>
      <c r="K84" s="5"/>
      <c r="L84" s="5"/>
      <c r="M84" s="5"/>
      <c r="V84" s="598"/>
      <c r="W84" s="598"/>
      <c r="X84" s="584"/>
      <c r="Y84" s="584"/>
      <c r="Z84" s="599"/>
      <c r="AA84" s="600"/>
      <c r="AB84" s="600"/>
    </row>
    <row r="85" spans="1:28" ht="15.75" hidden="1" outlineLevel="1">
      <c r="A85" s="584">
        <f>1+A84</f>
        <v>2</v>
      </c>
      <c r="B85" s="1748" t="str">
        <f t="shared" ref="B85:B88" si="17">$B31</f>
        <v xml:space="preserve">Churchill </v>
      </c>
      <c r="C85" s="1684"/>
      <c r="D85" s="1685">
        <f t="shared" si="14"/>
        <v>8037.1583000000001</v>
      </c>
      <c r="E85" s="1710">
        <f t="shared" ref="E85:E89" si="18">IF($C85="y",$J$77*$D85,0)</f>
        <v>0</v>
      </c>
      <c r="F85" s="1710">
        <f t="shared" si="15"/>
        <v>0</v>
      </c>
      <c r="G85" s="1710">
        <f t="shared" si="15"/>
        <v>0</v>
      </c>
      <c r="H85" s="1710">
        <f t="shared" si="15"/>
        <v>0</v>
      </c>
      <c r="I85" s="1711">
        <f t="shared" si="15"/>
        <v>0</v>
      </c>
      <c r="J85" s="1678">
        <f t="shared" si="16"/>
        <v>0</v>
      </c>
      <c r="K85" s="5"/>
      <c r="L85" s="5"/>
      <c r="M85" s="5"/>
      <c r="V85" s="598"/>
      <c r="W85" s="598"/>
      <c r="X85" s="584"/>
      <c r="Y85" s="584"/>
      <c r="Z85" s="599"/>
      <c r="AA85" s="600"/>
      <c r="AB85" s="600"/>
    </row>
    <row r="86" spans="1:28" ht="15.75" hidden="1" outlineLevel="1">
      <c r="A86" s="584">
        <f t="shared" ref="A86:A88" si="19">1+A85</f>
        <v>3</v>
      </c>
      <c r="B86" s="1748" t="str">
        <f t="shared" si="17"/>
        <v xml:space="preserve">Clark </v>
      </c>
      <c r="C86" s="1684" t="s">
        <v>1174</v>
      </c>
      <c r="D86" s="1685">
        <f t="shared" si="14"/>
        <v>7147.3406999999997</v>
      </c>
      <c r="E86" s="1710">
        <f t="shared" si="18"/>
        <v>3573670.35</v>
      </c>
      <c r="F86" s="1710">
        <f t="shared" si="15"/>
        <v>106138.009395</v>
      </c>
      <c r="G86" s="1710">
        <f t="shared" si="15"/>
        <v>17153.617679999999</v>
      </c>
      <c r="H86" s="1710">
        <f t="shared" si="15"/>
        <v>30876.511824000001</v>
      </c>
      <c r="I86" s="1711">
        <f t="shared" si="15"/>
        <v>43741.725083999998</v>
      </c>
      <c r="J86" s="1678">
        <f t="shared" si="16"/>
        <v>3771580.2139830003</v>
      </c>
      <c r="K86" s="5"/>
      <c r="L86" s="5"/>
      <c r="M86" s="5"/>
      <c r="V86" s="598"/>
      <c r="W86" s="598"/>
      <c r="X86" s="584"/>
      <c r="Y86" s="584"/>
      <c r="Z86" s="599"/>
      <c r="AA86" s="600"/>
      <c r="AB86" s="600"/>
    </row>
    <row r="87" spans="1:28" ht="15.75" hidden="1" outlineLevel="1">
      <c r="A87" s="584">
        <f t="shared" si="19"/>
        <v>4</v>
      </c>
      <c r="B87" s="1748" t="str">
        <f t="shared" si="17"/>
        <v xml:space="preserve">Elko </v>
      </c>
      <c r="C87" s="1684"/>
      <c r="D87" s="1685">
        <f t="shared" si="14"/>
        <v>7661.7664999999997</v>
      </c>
      <c r="E87" s="1712">
        <f t="shared" si="18"/>
        <v>0</v>
      </c>
      <c r="F87" s="1712">
        <f t="shared" si="15"/>
        <v>0</v>
      </c>
      <c r="G87" s="1712">
        <f t="shared" si="15"/>
        <v>0</v>
      </c>
      <c r="H87" s="1712">
        <f t="shared" si="15"/>
        <v>0</v>
      </c>
      <c r="I87" s="1713">
        <f t="shared" si="15"/>
        <v>0</v>
      </c>
      <c r="J87" s="1678">
        <f t="shared" si="16"/>
        <v>0</v>
      </c>
      <c r="K87" s="5"/>
      <c r="L87" s="5"/>
      <c r="M87" s="5"/>
      <c r="V87" s="598"/>
      <c r="W87" s="598"/>
      <c r="X87" s="584"/>
      <c r="Y87" s="584"/>
      <c r="Z87" s="599"/>
      <c r="AA87" s="600"/>
      <c r="AB87" s="600"/>
    </row>
    <row r="88" spans="1:28" ht="15.75" hidden="1" outlineLevel="1">
      <c r="A88" s="584">
        <f t="shared" si="19"/>
        <v>5</v>
      </c>
      <c r="B88" s="1748" t="str">
        <f t="shared" si="17"/>
        <v xml:space="preserve">Washoe </v>
      </c>
      <c r="C88" s="1684"/>
      <c r="D88" s="1685">
        <f t="shared" si="14"/>
        <v>6931.8379999999997</v>
      </c>
      <c r="E88" s="1712">
        <f t="shared" si="18"/>
        <v>0</v>
      </c>
      <c r="F88" s="1712">
        <f t="shared" si="15"/>
        <v>0</v>
      </c>
      <c r="G88" s="1712">
        <f t="shared" si="15"/>
        <v>0</v>
      </c>
      <c r="H88" s="1712">
        <f t="shared" si="15"/>
        <v>0</v>
      </c>
      <c r="I88" s="1713">
        <f t="shared" si="15"/>
        <v>0</v>
      </c>
      <c r="J88" s="1678">
        <f t="shared" si="16"/>
        <v>0</v>
      </c>
      <c r="K88" s="5"/>
      <c r="L88" s="5"/>
      <c r="M88" s="5"/>
      <c r="V88" s="598"/>
      <c r="W88" s="598"/>
      <c r="X88" s="584"/>
      <c r="Y88" s="584"/>
      <c r="Z88" s="599"/>
      <c r="AA88" s="600"/>
      <c r="AB88" s="600"/>
    </row>
    <row r="89" spans="1:28" ht="15.75" hidden="1" outlineLevel="1">
      <c r="A89" s="584">
        <f>1+A88</f>
        <v>6</v>
      </c>
      <c r="B89" s="1747" t="str">
        <f>$B35</f>
        <v xml:space="preserve">White Pine </v>
      </c>
      <c r="C89" s="1667"/>
      <c r="D89" s="766">
        <f t="shared" si="14"/>
        <v>10295.467699999999</v>
      </c>
      <c r="E89" s="1714">
        <f t="shared" si="18"/>
        <v>0</v>
      </c>
      <c r="F89" s="1714">
        <f t="shared" si="15"/>
        <v>0</v>
      </c>
      <c r="G89" s="1714">
        <f t="shared" si="15"/>
        <v>0</v>
      </c>
      <c r="H89" s="1714">
        <f t="shared" si="15"/>
        <v>0</v>
      </c>
      <c r="I89" s="1715">
        <f t="shared" si="15"/>
        <v>0</v>
      </c>
      <c r="J89" s="1679">
        <f t="shared" si="16"/>
        <v>0</v>
      </c>
      <c r="K89" s="5"/>
      <c r="L89" s="5"/>
      <c r="M89" s="5"/>
      <c r="V89" s="598"/>
      <c r="W89" s="598"/>
      <c r="X89" s="584"/>
      <c r="Y89" s="584"/>
      <c r="Z89" s="599"/>
      <c r="AA89" s="600"/>
      <c r="AB89" s="600"/>
    </row>
    <row r="90" spans="1:28" ht="15.75" hidden="1" outlineLevel="1">
      <c r="A90" s="584"/>
      <c r="B90" s="1743" t="s">
        <v>275</v>
      </c>
      <c r="C90" s="1668"/>
      <c r="D90" s="1666">
        <f>+D15</f>
        <v>6931.8379999999997</v>
      </c>
      <c r="E90" s="1671">
        <f>IF($C90="y",$J$77*$D90,0)</f>
        <v>0</v>
      </c>
      <c r="F90" s="1671">
        <f t="shared" si="15"/>
        <v>0</v>
      </c>
      <c r="G90" s="1671">
        <f t="shared" si="15"/>
        <v>0</v>
      </c>
      <c r="H90" s="1671">
        <f t="shared" si="15"/>
        <v>0</v>
      </c>
      <c r="I90" s="1680">
        <f t="shared" si="15"/>
        <v>0</v>
      </c>
      <c r="J90" s="1681">
        <f t="shared" si="16"/>
        <v>0</v>
      </c>
      <c r="K90" s="5" t="s">
        <v>1175</v>
      </c>
      <c r="L90" s="5"/>
      <c r="M90" s="5"/>
      <c r="V90" s="598"/>
      <c r="W90" s="598"/>
      <c r="X90" s="584"/>
      <c r="Y90" s="584"/>
      <c r="Z90" s="599"/>
      <c r="AA90" s="600"/>
      <c r="AB90" s="600"/>
    </row>
    <row r="91" spans="1:28" ht="15.75" hidden="1" outlineLevel="1">
      <c r="A91" s="584"/>
      <c r="C91" s="1683" t="str">
        <f>IF(COUNTIF(C84:C90,"y")&gt;1,"Error: Select 1 area","ok")</f>
        <v>ok</v>
      </c>
      <c r="E91" s="1622">
        <f>SUM(E84:E90)</f>
        <v>3573670.35</v>
      </c>
      <c r="F91" s="1622">
        <f>SUM(F84:F90)</f>
        <v>106138.009395</v>
      </c>
      <c r="G91" s="1622">
        <f>SUM(G84:G90)</f>
        <v>17153.617679999999</v>
      </c>
      <c r="H91" s="1622">
        <f>SUM(H84:H90)</f>
        <v>30876.511824000001</v>
      </c>
      <c r="I91" s="1622">
        <f>SUM(I84:I90)</f>
        <v>43741.725083999998</v>
      </c>
      <c r="J91" s="1624">
        <f t="shared" si="16"/>
        <v>3771580.2139830003</v>
      </c>
      <c r="K91" s="5"/>
      <c r="L91" s="5"/>
      <c r="M91" s="5"/>
      <c r="V91" s="598"/>
      <c r="W91" s="598"/>
      <c r="X91" s="584"/>
      <c r="Y91" s="584"/>
      <c r="Z91" s="599"/>
      <c r="AA91" s="600"/>
      <c r="AB91" s="600"/>
    </row>
    <row r="92" spans="1:28" ht="15.75" hidden="1" outlineLevel="1">
      <c r="A92" s="584"/>
      <c r="B92" s="1719"/>
      <c r="C92" s="1719"/>
      <c r="D92" s="1719" t="s">
        <v>306</v>
      </c>
      <c r="E92" s="1720">
        <f>+E91/J77</f>
        <v>7147.3406999999997</v>
      </c>
      <c r="F92" s="1720">
        <f>+F91/F77</f>
        <v>2358.6224310000002</v>
      </c>
      <c r="G92" s="1720">
        <f>+G91/G77</f>
        <v>1715.361768</v>
      </c>
      <c r="H92" s="1720">
        <f>+H91/H77</f>
        <v>214.420221</v>
      </c>
      <c r="I92" s="1720">
        <f>+I91/I77</f>
        <v>857.68088399999999</v>
      </c>
      <c r="J92" s="1720">
        <f>+J91/J77</f>
        <v>7543.1604279660005</v>
      </c>
      <c r="K92" s="1717"/>
      <c r="L92" s="5"/>
      <c r="M92" s="5"/>
      <c r="V92" s="598"/>
      <c r="W92" s="598"/>
      <c r="X92" s="584"/>
      <c r="Y92" s="584"/>
      <c r="Z92" s="599"/>
      <c r="AA92" s="600"/>
      <c r="AB92" s="600"/>
    </row>
    <row r="93" spans="1:28" ht="15.75" hidden="1" outlineLevel="1">
      <c r="A93" s="584"/>
      <c r="B93" s="1719"/>
      <c r="C93" s="1719"/>
      <c r="D93" s="1719"/>
      <c r="E93" s="1721">
        <f t="shared" ref="E93:J93" si="20">+E92/$E$92</f>
        <v>1</v>
      </c>
      <c r="F93" s="1721">
        <f t="shared" si="20"/>
        <v>0.33000000000000007</v>
      </c>
      <c r="G93" s="1721">
        <f t="shared" si="20"/>
        <v>0.24000000000000002</v>
      </c>
      <c r="H93" s="1721">
        <f t="shared" si="20"/>
        <v>3.0000000000000002E-2</v>
      </c>
      <c r="I93" s="1721">
        <f t="shared" si="20"/>
        <v>0.12000000000000001</v>
      </c>
      <c r="J93" s="1721">
        <f t="shared" si="20"/>
        <v>1.0553800000000002</v>
      </c>
      <c r="K93" s="1717"/>
      <c r="L93" s="5"/>
      <c r="M93" s="5"/>
      <c r="V93" s="598"/>
      <c r="W93" s="598"/>
      <c r="X93" s="584"/>
      <c r="Y93" s="584"/>
      <c r="Z93" s="599"/>
      <c r="AA93" s="600"/>
      <c r="AB93" s="600"/>
    </row>
    <row r="94" spans="1:28" ht="15.75" hidden="1" outlineLevel="1" collapsed="1">
      <c r="A94" s="584"/>
      <c r="B94" s="1719"/>
      <c r="C94" s="1719"/>
      <c r="D94" s="1719"/>
      <c r="E94" s="1721"/>
      <c r="F94" s="1721"/>
      <c r="G94" s="1721"/>
      <c r="H94" s="1721"/>
      <c r="I94" s="1721"/>
      <c r="J94" s="1721"/>
      <c r="K94" s="1717"/>
      <c r="L94" s="5"/>
      <c r="M94" s="5"/>
      <c r="V94" s="598"/>
      <c r="W94" s="598"/>
      <c r="X94" s="584"/>
      <c r="Y94" s="584"/>
      <c r="Z94" s="599"/>
      <c r="AA94" s="600"/>
      <c r="AB94" s="600"/>
    </row>
    <row r="95" spans="1:28" ht="15.75" hidden="1" outlineLevel="1">
      <c r="A95" s="584"/>
      <c r="E95" s="1661" t="s">
        <v>504</v>
      </c>
      <c r="F95" s="1661" t="s">
        <v>1162</v>
      </c>
      <c r="G95" s="1661" t="s">
        <v>1163</v>
      </c>
      <c r="H95" s="1661" t="s">
        <v>1152</v>
      </c>
      <c r="I95" s="1661" t="s">
        <v>1164</v>
      </c>
      <c r="J95" s="1661" t="s">
        <v>123</v>
      </c>
      <c r="L95" s="5"/>
      <c r="M95" s="5"/>
      <c r="V95" s="598"/>
      <c r="W95" s="598"/>
      <c r="X95" s="584"/>
      <c r="Y95" s="584"/>
      <c r="Z95" s="599"/>
      <c r="AA95" s="600"/>
      <c r="AB95" s="600"/>
    </row>
    <row r="96" spans="1:28" ht="15.75" hidden="1" outlineLevel="1">
      <c r="A96" s="584"/>
      <c r="E96" s="1658">
        <f>+E77</f>
        <v>250</v>
      </c>
      <c r="F96" s="1658">
        <f>+F77</f>
        <v>45</v>
      </c>
      <c r="G96" s="1658">
        <f>+G77</f>
        <v>10</v>
      </c>
      <c r="H96" s="1658">
        <f>+H77</f>
        <v>144</v>
      </c>
      <c r="I96" s="1658">
        <f>+I77</f>
        <v>51</v>
      </c>
      <c r="J96" s="1665">
        <f>SUM(E96:I96)</f>
        <v>500</v>
      </c>
      <c r="L96" s="5"/>
      <c r="M96" s="5"/>
      <c r="V96" s="598"/>
      <c r="W96" s="598"/>
      <c r="X96" s="584"/>
      <c r="Y96" s="584"/>
      <c r="Z96" s="599"/>
      <c r="AA96" s="600"/>
      <c r="AB96" s="600"/>
    </row>
    <row r="97" spans="1:28" ht="15.75" hidden="1" outlineLevel="1">
      <c r="A97" s="584"/>
      <c r="D97" s="1690" t="s">
        <v>1166</v>
      </c>
      <c r="E97" s="1691">
        <f>+E96/$J96</f>
        <v>0.5</v>
      </c>
      <c r="F97" s="1691">
        <f t="shared" ref="F97:J97" si="21">+F96/$J96</f>
        <v>0.09</v>
      </c>
      <c r="G97" s="1691">
        <f t="shared" si="21"/>
        <v>0.02</v>
      </c>
      <c r="H97" s="1691">
        <f t="shared" si="21"/>
        <v>0.28799999999999998</v>
      </c>
      <c r="I97" s="1691">
        <f t="shared" si="21"/>
        <v>0.10199999999999999</v>
      </c>
      <c r="J97" s="1691">
        <f t="shared" si="21"/>
        <v>1</v>
      </c>
      <c r="L97" s="5"/>
      <c r="M97" s="5"/>
      <c r="V97" s="598"/>
      <c r="W97" s="598"/>
      <c r="X97" s="584"/>
      <c r="Y97" s="584"/>
      <c r="Z97" s="599"/>
      <c r="AA97" s="600"/>
      <c r="AB97" s="600"/>
    </row>
    <row r="98" spans="1:28" ht="15.75" hidden="1" outlineLevel="1">
      <c r="A98" s="584"/>
      <c r="D98" s="1690" t="s">
        <v>262</v>
      </c>
      <c r="E98" s="1692">
        <v>0</v>
      </c>
      <c r="F98" s="1692">
        <f>E39</f>
        <v>0.33</v>
      </c>
      <c r="G98" s="1692">
        <f>E40</f>
        <v>0.23</v>
      </c>
      <c r="H98" s="1692">
        <f>E41</f>
        <v>0.03</v>
      </c>
      <c r="I98" s="1692">
        <f>E42</f>
        <v>0.12</v>
      </c>
      <c r="J98" s="1651"/>
      <c r="L98" s="5"/>
      <c r="M98" s="5"/>
      <c r="V98" s="598"/>
      <c r="W98" s="598"/>
      <c r="X98" s="584"/>
      <c r="Y98" s="584"/>
      <c r="Z98" s="599"/>
      <c r="AA98" s="600"/>
      <c r="AB98" s="600"/>
    </row>
    <row r="99" spans="1:28" ht="15.75" collapsed="1">
      <c r="A99" s="584"/>
      <c r="D99" s="1690"/>
      <c r="E99" s="1869"/>
      <c r="F99" s="1869"/>
      <c r="G99" s="1869"/>
      <c r="H99" s="1869"/>
      <c r="I99" s="1869"/>
      <c r="J99" s="1651"/>
      <c r="L99" s="5"/>
      <c r="M99" s="5"/>
      <c r="V99" s="598"/>
      <c r="W99" s="598"/>
      <c r="X99" s="584"/>
      <c r="Y99" s="584"/>
      <c r="Z99" s="599"/>
      <c r="AA99" s="600"/>
      <c r="AB99" s="600"/>
    </row>
    <row r="100" spans="1:28" ht="18.75">
      <c r="A100" s="584"/>
      <c r="B100" t="s">
        <v>1176</v>
      </c>
      <c r="C100" s="1693" t="str">
        <f>+E13</f>
        <v>SYE 23</v>
      </c>
      <c r="D100" s="1690"/>
      <c r="E100" s="1869"/>
      <c r="F100" s="1869"/>
      <c r="G100" s="1869"/>
      <c r="H100" s="1869"/>
      <c r="I100" s="1869"/>
      <c r="J100" s="1651"/>
      <c r="L100" s="5"/>
      <c r="M100" s="5"/>
      <c r="V100" s="598"/>
      <c r="W100" s="598"/>
      <c r="X100" s="584"/>
      <c r="Y100" s="584"/>
      <c r="Z100" s="599"/>
      <c r="AA100" s="600"/>
      <c r="AB100" s="600"/>
    </row>
    <row r="101" spans="1:28" ht="15.75">
      <c r="A101" s="584"/>
      <c r="D101" s="1690"/>
      <c r="E101" s="1869"/>
      <c r="F101" s="1869"/>
      <c r="G101" s="1869"/>
      <c r="H101" s="1869"/>
      <c r="I101" s="1869"/>
      <c r="J101" s="1651"/>
      <c r="L101" s="5"/>
      <c r="M101" s="5"/>
      <c r="V101" s="598"/>
      <c r="W101" s="598"/>
      <c r="X101" s="584"/>
      <c r="Y101" s="584"/>
      <c r="Z101" s="599"/>
      <c r="AA101" s="600"/>
      <c r="AB101" s="600"/>
    </row>
    <row r="102" spans="1:28" ht="15.75">
      <c r="A102" s="584"/>
      <c r="B102" s="1" t="s">
        <v>1167</v>
      </c>
      <c r="E102" s="1659"/>
      <c r="F102" s="1659"/>
      <c r="G102" s="1659"/>
      <c r="H102" s="1659"/>
      <c r="I102" s="1659"/>
      <c r="J102" s="1651"/>
      <c r="L102" s="5"/>
      <c r="M102" s="5"/>
      <c r="V102" s="598"/>
      <c r="W102" s="598"/>
      <c r="X102" s="584"/>
      <c r="Y102" s="584"/>
      <c r="Z102" s="599"/>
      <c r="AA102" s="600"/>
      <c r="AB102" s="600"/>
    </row>
    <row r="103" spans="1:28" ht="15.75">
      <c r="A103" s="584"/>
      <c r="C103" s="1682" t="s">
        <v>1169</v>
      </c>
      <c r="D103" s="1"/>
      <c r="E103" s="1686" t="s">
        <v>1177</v>
      </c>
      <c r="F103" s="1686"/>
      <c r="G103" s="1686"/>
      <c r="H103" s="1686"/>
      <c r="I103" s="1686"/>
      <c r="J103" s="1647" t="s">
        <v>123</v>
      </c>
      <c r="L103" s="5"/>
      <c r="M103" s="5"/>
      <c r="V103" s="598"/>
      <c r="W103" s="598"/>
      <c r="X103" s="584"/>
      <c r="Y103" s="584"/>
      <c r="Z103" s="599"/>
      <c r="AA103" s="600"/>
      <c r="AB103" s="600"/>
    </row>
    <row r="104" spans="1:28" ht="15.75">
      <c r="A104" s="584"/>
      <c r="B104" s="1509" t="s">
        <v>1171</v>
      </c>
      <c r="C104" s="1661" t="s">
        <v>1172</v>
      </c>
      <c r="D104" s="1661" t="s">
        <v>306</v>
      </c>
      <c r="E104" s="1687">
        <f>+J96</f>
        <v>500</v>
      </c>
      <c r="F104" s="1688" t="s">
        <v>1173</v>
      </c>
      <c r="G104" s="1686"/>
      <c r="H104" s="1686"/>
      <c r="I104" s="1686"/>
      <c r="J104" s="1650" t="s">
        <v>1170</v>
      </c>
      <c r="L104" s="5"/>
      <c r="M104" s="5"/>
      <c r="V104" s="598"/>
      <c r="W104" s="598"/>
      <c r="X104" s="584"/>
      <c r="Y104" s="584"/>
      <c r="Z104" s="599"/>
      <c r="AA104" s="600"/>
      <c r="AB104" s="600"/>
    </row>
    <row r="105" spans="1:28" ht="15.75">
      <c r="A105" s="584">
        <v>1</v>
      </c>
      <c r="B105" s="1610" t="str">
        <f t="shared" ref="B105:B110" si="22">$B30</f>
        <v xml:space="preserve">Carson City </v>
      </c>
      <c r="C105" s="1667"/>
      <c r="D105" s="1744">
        <f t="shared" ref="D105:D110" si="23">+E30</f>
        <v>7541.6013999999996</v>
      </c>
      <c r="E105" s="1672">
        <f t="shared" ref="E105:E111" si="24">IF($C105="y",$J$96*$D105,0)</f>
        <v>0</v>
      </c>
      <c r="F105" s="1672">
        <f t="shared" ref="F105:I111" si="25">IF($C105="y",F$96*F$98*$D105,0)</f>
        <v>0</v>
      </c>
      <c r="G105" s="1672">
        <f t="shared" si="25"/>
        <v>0</v>
      </c>
      <c r="H105" s="1672">
        <f t="shared" si="25"/>
        <v>0</v>
      </c>
      <c r="I105" s="1674">
        <f t="shared" si="25"/>
        <v>0</v>
      </c>
      <c r="J105" s="1716">
        <f t="shared" ref="J105:J112" si="26">SUM(E105:I105)</f>
        <v>0</v>
      </c>
      <c r="K105" s="5"/>
      <c r="L105" s="5"/>
      <c r="M105" s="5"/>
      <c r="V105" s="598"/>
      <c r="W105" s="598"/>
      <c r="X105" s="584"/>
      <c r="Y105" s="584"/>
      <c r="Z105" s="599"/>
      <c r="AA105" s="600"/>
      <c r="AB105" s="600"/>
    </row>
    <row r="106" spans="1:28" ht="15.75">
      <c r="A106" s="584">
        <f>1+A105</f>
        <v>2</v>
      </c>
      <c r="B106" s="1739" t="str">
        <f t="shared" si="22"/>
        <v xml:space="preserve">Churchill </v>
      </c>
      <c r="C106" s="1684"/>
      <c r="D106" s="1745">
        <f t="shared" si="23"/>
        <v>8140.4407000000001</v>
      </c>
      <c r="E106" s="1669">
        <f t="shared" si="24"/>
        <v>0</v>
      </c>
      <c r="F106" s="1669">
        <f t="shared" si="25"/>
        <v>0</v>
      </c>
      <c r="G106" s="1669">
        <f t="shared" si="25"/>
        <v>0</v>
      </c>
      <c r="H106" s="1669">
        <f t="shared" si="25"/>
        <v>0</v>
      </c>
      <c r="I106" s="1675">
        <f t="shared" si="25"/>
        <v>0</v>
      </c>
      <c r="J106" s="1678">
        <f t="shared" si="26"/>
        <v>0</v>
      </c>
      <c r="K106" s="5"/>
      <c r="L106" s="5"/>
      <c r="M106" s="5"/>
      <c r="V106" s="598"/>
      <c r="W106" s="598"/>
      <c r="X106" s="584"/>
      <c r="Y106" s="584"/>
      <c r="Z106" s="599"/>
      <c r="AA106" s="600"/>
      <c r="AB106" s="600"/>
    </row>
    <row r="107" spans="1:28" ht="15.75">
      <c r="A107" s="584">
        <f t="shared" ref="A107:A109" si="27">1+A106</f>
        <v>3</v>
      </c>
      <c r="B107" s="1739" t="str">
        <f t="shared" si="22"/>
        <v xml:space="preserve">Clark </v>
      </c>
      <c r="C107" s="1684"/>
      <c r="D107" s="1745">
        <f t="shared" si="23"/>
        <v>7242.6782999999996</v>
      </c>
      <c r="E107" s="1669">
        <f t="shared" si="24"/>
        <v>0</v>
      </c>
      <c r="F107" s="1669">
        <f t="shared" si="25"/>
        <v>0</v>
      </c>
      <c r="G107" s="1669">
        <f t="shared" si="25"/>
        <v>0</v>
      </c>
      <c r="H107" s="1669">
        <f t="shared" si="25"/>
        <v>0</v>
      </c>
      <c r="I107" s="1675">
        <f t="shared" si="25"/>
        <v>0</v>
      </c>
      <c r="J107" s="1678">
        <f t="shared" si="26"/>
        <v>0</v>
      </c>
      <c r="K107" s="5"/>
      <c r="L107" s="5"/>
      <c r="M107" s="5"/>
      <c r="V107" s="598"/>
      <c r="W107" s="598"/>
      <c r="X107" s="584"/>
      <c r="Y107" s="584"/>
      <c r="Z107" s="599"/>
      <c r="AA107" s="600"/>
      <c r="AB107" s="600"/>
    </row>
    <row r="108" spans="1:28" ht="15.75">
      <c r="A108" s="584">
        <f t="shared" si="27"/>
        <v>4</v>
      </c>
      <c r="B108" s="1739" t="str">
        <f t="shared" si="22"/>
        <v xml:space="preserve">Elko </v>
      </c>
      <c r="C108" s="1684"/>
      <c r="D108" s="1745">
        <f t="shared" si="23"/>
        <v>7764.0558000000001</v>
      </c>
      <c r="E108" s="1670">
        <f t="shared" si="24"/>
        <v>0</v>
      </c>
      <c r="F108" s="1670">
        <f t="shared" si="25"/>
        <v>0</v>
      </c>
      <c r="G108" s="1670">
        <f t="shared" si="25"/>
        <v>0</v>
      </c>
      <c r="H108" s="1670">
        <f t="shared" si="25"/>
        <v>0</v>
      </c>
      <c r="I108" s="1676">
        <f t="shared" si="25"/>
        <v>0</v>
      </c>
      <c r="J108" s="1678">
        <f t="shared" si="26"/>
        <v>0</v>
      </c>
      <c r="K108" s="5"/>
      <c r="L108" s="5"/>
      <c r="M108" s="5"/>
      <c r="V108" s="598"/>
      <c r="W108" s="598"/>
      <c r="X108" s="584"/>
      <c r="Y108" s="584"/>
      <c r="Z108" s="599"/>
      <c r="AA108" s="600"/>
      <c r="AB108" s="600"/>
    </row>
    <row r="109" spans="1:28" ht="15.75">
      <c r="A109" s="584">
        <f t="shared" si="27"/>
        <v>5</v>
      </c>
      <c r="B109" s="1739" t="str">
        <f t="shared" si="22"/>
        <v xml:space="preserve">Washoe </v>
      </c>
      <c r="C109" s="1684"/>
      <c r="D109" s="1745">
        <f t="shared" si="23"/>
        <v>7025.1894000000002</v>
      </c>
      <c r="E109" s="1670">
        <f t="shared" si="24"/>
        <v>0</v>
      </c>
      <c r="F109" s="1670">
        <f t="shared" si="25"/>
        <v>0</v>
      </c>
      <c r="G109" s="1670">
        <f t="shared" si="25"/>
        <v>0</v>
      </c>
      <c r="H109" s="1670">
        <f t="shared" si="25"/>
        <v>0</v>
      </c>
      <c r="I109" s="1676">
        <f t="shared" si="25"/>
        <v>0</v>
      </c>
      <c r="J109" s="1678">
        <f t="shared" si="26"/>
        <v>0</v>
      </c>
      <c r="K109" s="5"/>
      <c r="L109" s="5"/>
      <c r="M109" s="5"/>
      <c r="V109" s="598"/>
      <c r="W109" s="598"/>
      <c r="X109" s="584"/>
      <c r="Y109" s="584"/>
      <c r="Z109" s="599"/>
      <c r="AA109" s="600"/>
      <c r="AB109" s="600"/>
    </row>
    <row r="110" spans="1:28" ht="15.75">
      <c r="A110" s="584">
        <f>1+A109</f>
        <v>6</v>
      </c>
      <c r="B110" s="1610" t="str">
        <f t="shared" si="22"/>
        <v xml:space="preserve">White Pine </v>
      </c>
      <c r="C110" s="1667"/>
      <c r="D110" s="1744">
        <f t="shared" si="23"/>
        <v>10428.543099999999</v>
      </c>
      <c r="E110" s="1673">
        <f t="shared" si="24"/>
        <v>0</v>
      </c>
      <c r="F110" s="1673">
        <f t="shared" si="25"/>
        <v>0</v>
      </c>
      <c r="G110" s="1673">
        <f t="shared" si="25"/>
        <v>0</v>
      </c>
      <c r="H110" s="1673">
        <f t="shared" si="25"/>
        <v>0</v>
      </c>
      <c r="I110" s="1677">
        <f t="shared" si="25"/>
        <v>0</v>
      </c>
      <c r="J110" s="1679">
        <f t="shared" si="26"/>
        <v>0</v>
      </c>
      <c r="K110" s="5"/>
      <c r="L110" s="5"/>
      <c r="M110" s="5"/>
      <c r="V110" s="598"/>
      <c r="W110" s="598"/>
      <c r="X110" s="584"/>
      <c r="Y110" s="584"/>
      <c r="Z110" s="599"/>
      <c r="AA110" s="600"/>
      <c r="AB110" s="600"/>
    </row>
    <row r="111" spans="1:28" ht="15.75">
      <c r="A111" s="584"/>
      <c r="B111" s="1743" t="s">
        <v>275</v>
      </c>
      <c r="C111" s="1668" t="s">
        <v>1174</v>
      </c>
      <c r="D111" s="1746">
        <f>+E15</f>
        <v>7025.1894000000002</v>
      </c>
      <c r="E111" s="1671">
        <f t="shared" si="24"/>
        <v>3512594.7</v>
      </c>
      <c r="F111" s="1671">
        <f t="shared" si="25"/>
        <v>104324.06259000002</v>
      </c>
      <c r="G111" s="1671">
        <f t="shared" si="25"/>
        <v>16157.935620000002</v>
      </c>
      <c r="H111" s="1671">
        <f t="shared" si="25"/>
        <v>30348.818208000004</v>
      </c>
      <c r="I111" s="1680">
        <f t="shared" si="25"/>
        <v>42994.159127999999</v>
      </c>
      <c r="J111" s="1681">
        <f t="shared" si="26"/>
        <v>3706419.6755460007</v>
      </c>
      <c r="K111" s="5" t="s">
        <v>1175</v>
      </c>
      <c r="L111" s="5"/>
      <c r="M111" s="5"/>
      <c r="V111" s="598"/>
      <c r="W111" s="598"/>
      <c r="X111" s="584"/>
      <c r="Y111" s="584"/>
      <c r="Z111" s="599"/>
      <c r="AA111" s="600"/>
      <c r="AB111" s="600"/>
    </row>
    <row r="112" spans="1:28" ht="15.75">
      <c r="A112" s="584"/>
      <c r="C112" s="1683" t="str">
        <f>IF(COUNTIF(C105:C111,"y")&gt;1,"Error: Select 1 area","ok")</f>
        <v>ok</v>
      </c>
      <c r="E112" s="1622">
        <f>SUM(E105:E111)</f>
        <v>3512594.7</v>
      </c>
      <c r="F112" s="1622">
        <f>SUM(F105:F111)</f>
        <v>104324.06259000002</v>
      </c>
      <c r="G112" s="1622">
        <f>SUM(G105:G111)</f>
        <v>16157.935620000002</v>
      </c>
      <c r="H112" s="1622">
        <f>SUM(H105:H111)</f>
        <v>30348.818208000004</v>
      </c>
      <c r="I112" s="1622">
        <f>SUM(I105:I111)</f>
        <v>42994.159127999999</v>
      </c>
      <c r="J112" s="1624">
        <f t="shared" si="26"/>
        <v>3706419.6755460007</v>
      </c>
      <c r="K112" s="5"/>
      <c r="L112" s="5"/>
      <c r="M112" s="5"/>
      <c r="V112" s="598"/>
      <c r="W112" s="598"/>
      <c r="X112" s="584"/>
      <c r="Y112" s="584"/>
      <c r="Z112" s="599"/>
      <c r="AA112" s="600"/>
      <c r="AB112" s="600"/>
    </row>
    <row r="113" spans="1:28" ht="15.75">
      <c r="A113" s="584"/>
      <c r="E113" s="1651"/>
      <c r="F113" s="1651"/>
      <c r="G113" s="1651"/>
      <c r="H113" s="1651"/>
      <c r="I113" s="5"/>
      <c r="J113" s="5"/>
      <c r="K113" s="5"/>
      <c r="L113" s="5"/>
      <c r="M113" s="5"/>
      <c r="V113" s="598"/>
      <c r="W113" s="598"/>
      <c r="X113" s="584"/>
      <c r="Y113" s="584"/>
      <c r="Z113" s="599"/>
      <c r="AA113" s="600"/>
      <c r="AB113" s="600"/>
    </row>
    <row r="114" spans="1:28" ht="15.75">
      <c r="A114" s="584"/>
      <c r="E114" s="1651"/>
      <c r="F114" s="1651"/>
      <c r="G114" s="1651"/>
      <c r="H114" s="1651"/>
      <c r="I114" s="5"/>
      <c r="J114" s="5"/>
      <c r="K114" s="5"/>
      <c r="L114" s="5"/>
      <c r="M114" s="5"/>
      <c r="V114" s="598"/>
      <c r="W114" s="598"/>
      <c r="X114" s="584"/>
      <c r="Y114" s="584"/>
      <c r="Z114" s="599"/>
      <c r="AA114" s="600"/>
      <c r="AB114" s="600"/>
    </row>
    <row r="115" spans="1:28" ht="15.75">
      <c r="A115" s="584"/>
      <c r="E115" s="1651"/>
      <c r="F115" s="1651"/>
      <c r="G115" s="1651"/>
      <c r="H115" s="1651"/>
      <c r="I115" s="5"/>
      <c r="J115" s="5"/>
      <c r="K115" s="5"/>
      <c r="L115" s="5"/>
      <c r="M115" s="5"/>
      <c r="V115" s="598"/>
      <c r="W115" s="598"/>
      <c r="X115" s="584"/>
      <c r="Y115" s="584"/>
      <c r="Z115" s="599"/>
      <c r="AA115" s="600"/>
      <c r="AB115" s="600"/>
    </row>
    <row r="116" spans="1:28" ht="15.75">
      <c r="A116" s="584"/>
      <c r="D116" s="1649"/>
      <c r="E116" s="1648"/>
      <c r="F116" s="1654"/>
      <c r="G116" s="1649"/>
      <c r="H116" s="1648"/>
      <c r="I116" s="5"/>
      <c r="J116" s="5"/>
      <c r="K116" s="5"/>
      <c r="L116" s="5"/>
      <c r="M116" s="5"/>
      <c r="V116" s="598"/>
      <c r="W116" s="598"/>
      <c r="X116" s="584"/>
      <c r="Y116" s="584"/>
      <c r="Z116" s="599"/>
      <c r="AA116" s="600"/>
      <c r="AB116" s="600"/>
    </row>
    <row r="117" spans="1:28" ht="15.75">
      <c r="A117" s="584"/>
      <c r="B117" s="1608"/>
      <c r="D117" s="1608"/>
      <c r="E117" s="1609"/>
      <c r="F117" s="5"/>
      <c r="G117" s="1"/>
      <c r="H117" s="5"/>
      <c r="I117" s="5"/>
      <c r="J117" s="5"/>
      <c r="K117" s="5"/>
      <c r="L117" s="5"/>
      <c r="M117" s="5"/>
      <c r="V117" s="598"/>
      <c r="W117" s="598"/>
      <c r="X117" s="584"/>
      <c r="Y117" s="584"/>
      <c r="Z117" s="599"/>
      <c r="AA117" s="600"/>
      <c r="AB117" s="600"/>
    </row>
    <row r="118" spans="1:28" ht="15.75">
      <c r="A118" s="584"/>
      <c r="B118" s="1608"/>
      <c r="D118" s="1608"/>
      <c r="E118" s="1609"/>
      <c r="F118" s="5"/>
      <c r="G118" s="1"/>
      <c r="H118" s="5"/>
      <c r="I118" s="5"/>
      <c r="J118" s="5"/>
      <c r="K118" s="5"/>
      <c r="L118" s="5"/>
      <c r="M118" s="5"/>
      <c r="V118" s="598"/>
      <c r="W118" s="598"/>
      <c r="X118" s="584"/>
      <c r="Y118" s="584"/>
      <c r="Z118" s="599"/>
      <c r="AA118" s="600"/>
      <c r="AB118" s="600"/>
    </row>
    <row r="119" spans="1:28" ht="15.75">
      <c r="A119" s="584"/>
      <c r="B119" s="1608"/>
      <c r="D119" s="1608"/>
      <c r="E119" s="1609"/>
      <c r="F119" s="5"/>
      <c r="G119" s="1"/>
      <c r="J119" s="597"/>
      <c r="V119" s="598"/>
      <c r="W119" s="598"/>
      <c r="X119" s="584"/>
      <c r="Y119" s="584"/>
      <c r="Z119" s="599"/>
      <c r="AA119" s="600"/>
      <c r="AB119" s="600"/>
    </row>
    <row r="120" spans="1:28" ht="15.75" hidden="1" outlineLevel="1">
      <c r="A120" s="584"/>
      <c r="B120" s="1611" t="s">
        <v>1178</v>
      </c>
      <c r="C120" s="1611"/>
      <c r="D120" s="1611"/>
      <c r="E120" s="1612"/>
      <c r="F120" s="1526"/>
      <c r="G120" s="1611"/>
      <c r="H120" s="1613"/>
      <c r="I120" s="1613"/>
      <c r="J120" s="1614"/>
      <c r="V120" s="598"/>
      <c r="W120" s="598"/>
      <c r="X120" s="584"/>
      <c r="Y120" s="584"/>
      <c r="Z120" s="599"/>
      <c r="AA120" s="600"/>
      <c r="AB120" s="600"/>
    </row>
    <row r="121" spans="1:28" ht="15.75" hidden="1" outlineLevel="1">
      <c r="A121" s="584"/>
      <c r="B121" s="1605" t="s">
        <v>1171</v>
      </c>
      <c r="C121" s="1605"/>
      <c r="D121" s="1605"/>
      <c r="E121" s="1606"/>
      <c r="F121" s="1522"/>
      <c r="G121" s="1605"/>
      <c r="H121" s="1606"/>
      <c r="I121" s="1606"/>
      <c r="J121" s="1607"/>
      <c r="V121" s="598"/>
      <c r="W121" s="598"/>
      <c r="X121" s="584"/>
      <c r="Y121" s="584"/>
      <c r="Z121" s="599"/>
      <c r="AA121" s="600"/>
      <c r="AB121" s="600"/>
    </row>
    <row r="122" spans="1:28" ht="15.75" hidden="1" outlineLevel="1">
      <c r="A122" s="584"/>
      <c r="B122" s="1509"/>
      <c r="C122" s="1509"/>
      <c r="D122" s="1509"/>
      <c r="E122" s="1509" t="s">
        <v>1179</v>
      </c>
      <c r="F122" s="1504"/>
      <c r="G122" s="1509"/>
      <c r="H122" s="636"/>
      <c r="I122" s="636"/>
      <c r="J122" s="1599"/>
      <c r="V122" s="598"/>
      <c r="W122" s="598"/>
      <c r="X122" s="584"/>
      <c r="Y122" s="584"/>
      <c r="Z122" s="599"/>
      <c r="AA122" s="600"/>
      <c r="AB122" s="600"/>
    </row>
    <row r="123" spans="1:28" ht="15.75" hidden="1" outlineLevel="1">
      <c r="A123" s="584"/>
      <c r="B123" s="1570"/>
      <c r="C123" s="1570"/>
      <c r="D123" s="1570"/>
      <c r="E123" s="1570" t="s">
        <v>504</v>
      </c>
      <c r="F123" s="1570" t="s">
        <v>1162</v>
      </c>
      <c r="G123" s="1570" t="s">
        <v>1163</v>
      </c>
      <c r="H123" s="1570" t="s">
        <v>1152</v>
      </c>
      <c r="I123" s="1570" t="s">
        <v>1164</v>
      </c>
      <c r="J123" s="1570" t="s">
        <v>123</v>
      </c>
      <c r="V123" s="598"/>
      <c r="W123" s="598"/>
      <c r="X123" s="584"/>
      <c r="Y123" s="584"/>
      <c r="Z123" s="599"/>
      <c r="AA123" s="600"/>
      <c r="AB123" s="600"/>
    </row>
    <row r="124" spans="1:28" ht="15.75" hidden="1" outlineLevel="1">
      <c r="A124" s="584">
        <v>1</v>
      </c>
      <c r="B124" t="str">
        <f>+B$30</f>
        <v xml:space="preserve">Carson City </v>
      </c>
      <c r="E124" s="1635">
        <v>10</v>
      </c>
      <c r="F124" s="1635">
        <v>4</v>
      </c>
      <c r="G124" s="1635">
        <v>5</v>
      </c>
      <c r="H124" s="1635">
        <v>5</v>
      </c>
      <c r="I124" s="1635">
        <v>1</v>
      </c>
      <c r="J124" s="1620">
        <f t="shared" ref="J124:J130" si="28">SUM(E124:I124)</f>
        <v>25</v>
      </c>
      <c r="V124" s="598"/>
      <c r="W124" s="598"/>
      <c r="X124" s="584"/>
      <c r="Y124" s="584"/>
      <c r="Z124" s="599"/>
      <c r="AA124" s="600"/>
      <c r="AB124" s="600"/>
    </row>
    <row r="125" spans="1:28" ht="15.75" hidden="1" outlineLevel="1">
      <c r="A125" s="584">
        <f>1+A124</f>
        <v>2</v>
      </c>
      <c r="B125" t="str">
        <f>+$B$31</f>
        <v xml:space="preserve">Churchill </v>
      </c>
      <c r="E125" s="1635">
        <v>10</v>
      </c>
      <c r="F125" s="1635">
        <v>4</v>
      </c>
      <c r="G125" s="1635">
        <v>5</v>
      </c>
      <c r="H125" s="1635">
        <v>5</v>
      </c>
      <c r="I125" s="1635">
        <v>1</v>
      </c>
      <c r="J125" s="1580">
        <f t="shared" si="28"/>
        <v>25</v>
      </c>
      <c r="V125" s="598"/>
      <c r="W125" s="598"/>
      <c r="X125" s="584"/>
      <c r="Y125" s="584"/>
      <c r="Z125" s="599"/>
      <c r="AA125" s="600"/>
      <c r="AB125" s="600"/>
    </row>
    <row r="126" spans="1:28" ht="15.75" hidden="1" outlineLevel="1">
      <c r="A126" s="584">
        <f t="shared" ref="A126:A129" si="29">1+A125</f>
        <v>3</v>
      </c>
      <c r="B126" t="str">
        <f>+$B$32</f>
        <v xml:space="preserve">Clark </v>
      </c>
      <c r="E126" s="1635">
        <v>10</v>
      </c>
      <c r="F126" s="1635">
        <v>4</v>
      </c>
      <c r="G126" s="1635">
        <v>5</v>
      </c>
      <c r="H126" s="1635">
        <v>5</v>
      </c>
      <c r="I126" s="1635">
        <v>1</v>
      </c>
      <c r="J126" s="1580">
        <f t="shared" si="28"/>
        <v>25</v>
      </c>
      <c r="V126" s="598"/>
      <c r="W126" s="598"/>
      <c r="X126" s="584"/>
      <c r="Y126" s="584"/>
      <c r="Z126" s="599"/>
      <c r="AA126" s="600"/>
      <c r="AB126" s="600"/>
    </row>
    <row r="127" spans="1:28" ht="15.75" hidden="1" outlineLevel="1">
      <c r="A127" s="584">
        <f t="shared" si="29"/>
        <v>4</v>
      </c>
      <c r="B127" t="str">
        <f>+$B$33</f>
        <v xml:space="preserve">Elko </v>
      </c>
      <c r="E127" s="1635">
        <v>10</v>
      </c>
      <c r="F127" s="1635">
        <v>4</v>
      </c>
      <c r="G127" s="1635">
        <v>5</v>
      </c>
      <c r="H127" s="1635">
        <v>5</v>
      </c>
      <c r="I127" s="1635">
        <v>1</v>
      </c>
      <c r="J127" s="1580">
        <f t="shared" si="28"/>
        <v>25</v>
      </c>
      <c r="V127" s="598"/>
      <c r="W127" s="598"/>
      <c r="X127" s="584"/>
      <c r="Y127" s="584"/>
      <c r="Z127" s="599"/>
      <c r="AA127" s="600"/>
      <c r="AB127" s="600"/>
    </row>
    <row r="128" spans="1:28" ht="15.75" hidden="1" outlineLevel="1">
      <c r="A128" s="584">
        <f t="shared" si="29"/>
        <v>5</v>
      </c>
      <c r="B128" t="str">
        <f>+$B$34</f>
        <v xml:space="preserve">Washoe </v>
      </c>
      <c r="E128" s="1636">
        <v>10</v>
      </c>
      <c r="F128" s="1636">
        <v>4</v>
      </c>
      <c r="G128" s="1636">
        <v>5</v>
      </c>
      <c r="H128" s="1636">
        <v>5</v>
      </c>
      <c r="I128" s="1636">
        <v>1</v>
      </c>
      <c r="J128" s="1580">
        <f t="shared" si="28"/>
        <v>25</v>
      </c>
      <c r="V128" s="598"/>
      <c r="W128" s="598"/>
      <c r="X128" s="584"/>
      <c r="Y128" s="584"/>
      <c r="Z128" s="599"/>
      <c r="AA128" s="600"/>
      <c r="AB128" s="600"/>
    </row>
    <row r="129" spans="1:28" ht="15.75" hidden="1" outlineLevel="1">
      <c r="A129" s="584">
        <f t="shared" si="29"/>
        <v>6</v>
      </c>
      <c r="B129" t="str">
        <f>+$B$35</f>
        <v xml:space="preserve">White Pine </v>
      </c>
      <c r="E129" s="1636">
        <v>10</v>
      </c>
      <c r="F129" s="1636">
        <v>4</v>
      </c>
      <c r="G129" s="1636">
        <v>5</v>
      </c>
      <c r="H129" s="1636">
        <v>5</v>
      </c>
      <c r="I129" s="1636">
        <v>1</v>
      </c>
      <c r="J129" s="1591">
        <f t="shared" si="28"/>
        <v>25</v>
      </c>
      <c r="V129" s="598"/>
      <c r="W129" s="598"/>
      <c r="X129" s="584"/>
      <c r="Y129" s="584"/>
      <c r="Z129" s="599"/>
      <c r="AA129" s="600"/>
      <c r="AB129" s="600"/>
    </row>
    <row r="130" spans="1:28" ht="15.75" hidden="1" outlineLevel="1">
      <c r="A130" s="584"/>
      <c r="B130" s="1592" t="s">
        <v>123</v>
      </c>
      <c r="C130" s="1592"/>
      <c r="D130" s="1592"/>
      <c r="E130" s="1597">
        <f>SUM(E124:E129)</f>
        <v>60</v>
      </c>
      <c r="F130" s="1597">
        <f>SUM(F124:F129)</f>
        <v>24</v>
      </c>
      <c r="G130" s="1597">
        <f t="shared" ref="G130:I130" si="30">SUM(G124:G129)</f>
        <v>30</v>
      </c>
      <c r="H130" s="1597">
        <f t="shared" si="30"/>
        <v>30</v>
      </c>
      <c r="I130" s="1597">
        <f t="shared" si="30"/>
        <v>6</v>
      </c>
      <c r="J130" s="1597">
        <f t="shared" si="28"/>
        <v>150</v>
      </c>
      <c r="P130" s="596"/>
      <c r="Q130" s="597"/>
      <c r="R130" s="597"/>
      <c r="S130" s="597"/>
      <c r="T130" s="598"/>
      <c r="U130" s="598"/>
      <c r="V130" s="598"/>
      <c r="W130" s="598"/>
      <c r="X130" s="584"/>
      <c r="Y130" s="584"/>
      <c r="Z130" s="599"/>
      <c r="AA130" s="600"/>
      <c r="AB130" s="600"/>
    </row>
    <row r="131" spans="1:28" ht="15.75" hidden="1" outlineLevel="1">
      <c r="A131" s="584"/>
      <c r="J131" s="1585"/>
      <c r="O131" s="595"/>
      <c r="P131" s="596"/>
      <c r="Q131" s="597"/>
      <c r="R131" s="597"/>
      <c r="S131" s="597"/>
      <c r="T131" s="598"/>
      <c r="U131" s="598"/>
      <c r="V131" s="598"/>
      <c r="W131" s="598"/>
      <c r="X131" s="584"/>
      <c r="Y131" s="584"/>
      <c r="Z131" s="599"/>
      <c r="AA131" s="600"/>
      <c r="AB131" s="600"/>
    </row>
    <row r="132" spans="1:28" ht="15.75" hidden="1" outlineLevel="1">
      <c r="A132" s="584"/>
      <c r="E132" s="1509" t="s">
        <v>1180</v>
      </c>
      <c r="F132" s="1504"/>
      <c r="G132" s="1509"/>
      <c r="H132" s="1509"/>
      <c r="I132" s="1509"/>
      <c r="J132" s="636"/>
      <c r="O132" s="595"/>
      <c r="P132" s="596"/>
      <c r="Q132" s="597"/>
      <c r="R132" s="597"/>
      <c r="S132" s="597"/>
      <c r="T132" s="598"/>
      <c r="U132" s="598"/>
      <c r="V132" s="598"/>
      <c r="W132" s="598"/>
      <c r="X132" s="584"/>
      <c r="Y132" s="584"/>
      <c r="Z132" s="599"/>
      <c r="AA132" s="600"/>
      <c r="AB132" s="600"/>
    </row>
    <row r="133" spans="1:28" ht="15.75" hidden="1" outlineLevel="1">
      <c r="A133" s="584"/>
      <c r="E133" s="1570" t="s">
        <v>504</v>
      </c>
      <c r="F133" s="1570" t="s">
        <v>1162</v>
      </c>
      <c r="G133" s="1570" t="s">
        <v>1163</v>
      </c>
      <c r="H133" s="1570" t="s">
        <v>1152</v>
      </c>
      <c r="I133" s="1570" t="s">
        <v>1164</v>
      </c>
      <c r="J133" s="1581"/>
      <c r="O133" s="595"/>
      <c r="P133" s="596"/>
      <c r="Q133" s="597"/>
      <c r="R133" s="597"/>
      <c r="S133" s="597"/>
      <c r="T133" s="598"/>
      <c r="U133" s="598"/>
      <c r="V133" s="598"/>
      <c r="W133" s="598"/>
      <c r="X133" s="584"/>
      <c r="Y133" s="584"/>
      <c r="Z133" s="599"/>
      <c r="AA133" s="600"/>
      <c r="AB133" s="600"/>
    </row>
    <row r="134" spans="1:28" ht="15.75" hidden="1" outlineLevel="1">
      <c r="A134" s="584"/>
      <c r="B134" s="1570" t="s">
        <v>1181</v>
      </c>
      <c r="C134" s="1570"/>
      <c r="D134" s="1570"/>
      <c r="E134" s="1639">
        <v>0</v>
      </c>
      <c r="F134" s="1630">
        <f>+D39</f>
        <v>0.33</v>
      </c>
      <c r="G134" s="1630">
        <f>+D40</f>
        <v>0.24</v>
      </c>
      <c r="H134" s="1630">
        <f>+D41</f>
        <v>0.03</v>
      </c>
      <c r="I134" s="1630">
        <f>+D42</f>
        <v>0.12</v>
      </c>
      <c r="J134" s="1570" t="s">
        <v>123</v>
      </c>
      <c r="P134" s="596"/>
      <c r="Q134" s="597"/>
      <c r="R134" s="597"/>
      <c r="S134" s="597"/>
      <c r="T134" s="598"/>
      <c r="U134" s="598"/>
      <c r="V134" s="598"/>
      <c r="W134" s="598"/>
      <c r="X134" s="584"/>
      <c r="Y134" s="584"/>
      <c r="Z134" s="599"/>
      <c r="AA134" s="600"/>
      <c r="AB134" s="600"/>
    </row>
    <row r="135" spans="1:28" ht="15.75" hidden="1" outlineLevel="1">
      <c r="A135" s="584">
        <v>1</v>
      </c>
      <c r="B135" t="str">
        <f>+B$30</f>
        <v xml:space="preserve">Carson City </v>
      </c>
      <c r="E135" s="1583"/>
      <c r="F135" s="1584">
        <v>4</v>
      </c>
      <c r="G135" s="1584">
        <v>2</v>
      </c>
      <c r="H135" s="1584">
        <v>3</v>
      </c>
      <c r="I135" s="1584">
        <v>1</v>
      </c>
      <c r="J135" s="1620">
        <f t="shared" ref="J135:J141" si="31">SUM(E135:I135)</f>
        <v>10</v>
      </c>
      <c r="P135" s="596"/>
      <c r="Q135" s="597"/>
      <c r="R135" s="597"/>
      <c r="S135" s="597"/>
      <c r="T135" s="598"/>
      <c r="U135" s="598"/>
      <c r="V135" s="598"/>
      <c r="W135" s="598"/>
      <c r="X135" s="584"/>
      <c r="Y135" s="584"/>
      <c r="Z135" s="599"/>
      <c r="AA135" s="600"/>
      <c r="AB135" s="600"/>
    </row>
    <row r="136" spans="1:28" ht="15.75" hidden="1" outlineLevel="1">
      <c r="A136" s="584">
        <f>1+A135</f>
        <v>2</v>
      </c>
      <c r="B136" t="str">
        <f>+$B$31</f>
        <v xml:space="preserve">Churchill </v>
      </c>
      <c r="E136" s="1583"/>
      <c r="F136" s="1586">
        <v>4</v>
      </c>
      <c r="G136" s="1586">
        <v>2</v>
      </c>
      <c r="H136" s="1586">
        <v>3</v>
      </c>
      <c r="I136" s="1586">
        <v>1</v>
      </c>
      <c r="J136" s="1580">
        <f t="shared" si="31"/>
        <v>10</v>
      </c>
      <c r="P136" s="596"/>
      <c r="Q136" s="597"/>
      <c r="R136" s="597"/>
      <c r="S136" s="597"/>
      <c r="T136" s="598"/>
      <c r="U136" s="598"/>
      <c r="V136" s="598"/>
      <c r="W136" s="598"/>
      <c r="X136" s="584"/>
      <c r="Y136" s="584"/>
      <c r="Z136" s="599"/>
      <c r="AA136" s="600"/>
      <c r="AB136" s="600"/>
    </row>
    <row r="137" spans="1:28" ht="15.75" hidden="1" outlineLevel="1">
      <c r="A137" s="584">
        <f t="shared" ref="A137:A140" si="32">1+A136</f>
        <v>3</v>
      </c>
      <c r="B137" t="str">
        <f>+$B$32</f>
        <v xml:space="preserve">Clark </v>
      </c>
      <c r="E137" s="1583"/>
      <c r="F137" s="1586">
        <v>4</v>
      </c>
      <c r="G137" s="1586">
        <v>2</v>
      </c>
      <c r="H137" s="1586">
        <v>3</v>
      </c>
      <c r="I137" s="1586">
        <v>1</v>
      </c>
      <c r="J137" s="1580">
        <f t="shared" si="31"/>
        <v>10</v>
      </c>
      <c r="P137" s="596"/>
      <c r="Q137" s="597"/>
      <c r="R137" s="597"/>
      <c r="S137" s="597"/>
      <c r="T137" s="598"/>
      <c r="U137" s="598"/>
      <c r="V137" s="598"/>
      <c r="W137" s="598"/>
      <c r="X137" s="584"/>
      <c r="Y137" s="584"/>
      <c r="Z137" s="599"/>
      <c r="AA137" s="600"/>
      <c r="AB137" s="600"/>
    </row>
    <row r="138" spans="1:28" ht="15.75" hidden="1" outlineLevel="1">
      <c r="A138" s="584">
        <f t="shared" si="32"/>
        <v>4</v>
      </c>
      <c r="B138" t="str">
        <f>+$B$33</f>
        <v xml:space="preserve">Elko </v>
      </c>
      <c r="E138" s="1583"/>
      <c r="F138" s="1586">
        <v>4</v>
      </c>
      <c r="G138" s="1586">
        <v>2</v>
      </c>
      <c r="H138" s="1586">
        <v>3</v>
      </c>
      <c r="I138" s="1586">
        <v>1</v>
      </c>
      <c r="J138" s="1580">
        <f t="shared" si="31"/>
        <v>10</v>
      </c>
      <c r="P138" s="596"/>
      <c r="Q138" s="597"/>
      <c r="R138" s="597"/>
      <c r="S138" s="597"/>
      <c r="T138" s="598"/>
      <c r="U138" s="598"/>
      <c r="V138" s="598"/>
      <c r="W138" s="598"/>
      <c r="X138" s="584"/>
      <c r="Y138" s="584"/>
      <c r="Z138" s="599"/>
      <c r="AA138" s="600"/>
      <c r="AB138" s="600"/>
    </row>
    <row r="139" spans="1:28" ht="15.75" hidden="1" outlineLevel="1">
      <c r="A139" s="584">
        <f t="shared" si="32"/>
        <v>5</v>
      </c>
      <c r="B139" t="str">
        <f>+$B$34</f>
        <v xml:space="preserve">Washoe </v>
      </c>
      <c r="E139" s="1583"/>
      <c r="F139" s="1586">
        <v>4</v>
      </c>
      <c r="G139" s="1586">
        <v>2</v>
      </c>
      <c r="H139" s="1586">
        <v>3</v>
      </c>
      <c r="I139" s="1586">
        <v>1</v>
      </c>
      <c r="J139" s="1580">
        <f t="shared" si="31"/>
        <v>10</v>
      </c>
      <c r="P139" s="596"/>
      <c r="Q139" s="597"/>
      <c r="R139" s="597"/>
      <c r="S139" s="597"/>
      <c r="T139" s="598"/>
      <c r="U139" s="598"/>
      <c r="V139" s="598"/>
      <c r="W139" s="598"/>
      <c r="X139" s="584"/>
      <c r="Y139" s="584"/>
      <c r="Z139" s="599"/>
      <c r="AA139" s="600"/>
      <c r="AB139" s="600"/>
    </row>
    <row r="140" spans="1:28" ht="15.75" hidden="1" outlineLevel="1">
      <c r="A140" s="584">
        <f t="shared" si="32"/>
        <v>6</v>
      </c>
      <c r="B140" t="str">
        <f>+$B$35</f>
        <v xml:space="preserve">White Pine </v>
      </c>
      <c r="E140" s="1583"/>
      <c r="F140" s="1587">
        <v>4</v>
      </c>
      <c r="G140" s="1587">
        <v>2</v>
      </c>
      <c r="H140" s="1587">
        <v>3</v>
      </c>
      <c r="I140" s="1587">
        <v>1</v>
      </c>
      <c r="J140" s="1591">
        <f t="shared" si="31"/>
        <v>10</v>
      </c>
      <c r="P140" s="596"/>
      <c r="Q140" s="597"/>
      <c r="R140" s="597"/>
      <c r="S140" s="597"/>
      <c r="T140" s="598"/>
      <c r="U140" s="598"/>
      <c r="V140" s="598"/>
      <c r="W140" s="598"/>
      <c r="X140" s="584"/>
      <c r="Y140" s="584"/>
      <c r="Z140" s="599"/>
      <c r="AA140" s="600"/>
      <c r="AB140" s="600"/>
    </row>
    <row r="141" spans="1:28" ht="15.75" hidden="1" outlineLevel="1">
      <c r="A141" s="584"/>
      <c r="B141" s="1592" t="s">
        <v>123</v>
      </c>
      <c r="C141" s="1592"/>
      <c r="D141" s="1592"/>
      <c r="E141" s="1638"/>
      <c r="F141" s="1589">
        <f t="shared" ref="F141" si="33">SUM(F135:F140)</f>
        <v>24</v>
      </c>
      <c r="G141" s="1589">
        <f t="shared" ref="G141" si="34">SUM(G135:G140)</f>
        <v>12</v>
      </c>
      <c r="H141" s="1589">
        <f t="shared" ref="H141" si="35">SUM(H135:H140)</f>
        <v>18</v>
      </c>
      <c r="I141" s="1589">
        <f t="shared" ref="I141" si="36">SUM(I135:I140)</f>
        <v>6</v>
      </c>
      <c r="J141" s="1597">
        <f t="shared" si="31"/>
        <v>60</v>
      </c>
      <c r="O141" s="595"/>
      <c r="P141" s="596"/>
      <c r="Q141" s="597"/>
      <c r="R141" s="597"/>
      <c r="S141" s="597"/>
      <c r="T141" s="598"/>
      <c r="U141" s="598"/>
      <c r="V141" s="598"/>
      <c r="W141" s="598"/>
      <c r="X141" s="584"/>
      <c r="Y141" s="584"/>
      <c r="Z141" s="599"/>
      <c r="AA141" s="600"/>
      <c r="AB141" s="600"/>
    </row>
    <row r="142" spans="1:28" ht="15.75" hidden="1" outlineLevel="1">
      <c r="A142" s="584"/>
      <c r="O142" s="595"/>
      <c r="P142" s="596"/>
      <c r="Q142" s="597"/>
      <c r="R142" s="597"/>
      <c r="S142" s="597"/>
      <c r="T142" s="598"/>
      <c r="U142" s="598"/>
      <c r="V142" s="598"/>
      <c r="W142" s="598"/>
      <c r="X142" s="584"/>
      <c r="Y142" s="584"/>
      <c r="Z142" s="599"/>
      <c r="AA142" s="600"/>
      <c r="AB142" s="600"/>
    </row>
    <row r="143" spans="1:28" ht="15.75" hidden="1" outlineLevel="1">
      <c r="A143" s="584"/>
      <c r="E143" s="1" t="s">
        <v>1182</v>
      </c>
      <c r="F143" s="1"/>
      <c r="G143" s="636"/>
      <c r="H143" s="636"/>
      <c r="I143" s="636"/>
      <c r="O143" s="595"/>
      <c r="P143" s="596"/>
      <c r="Q143" s="597"/>
      <c r="R143" s="597"/>
      <c r="S143" s="597"/>
      <c r="T143" s="598"/>
      <c r="U143" s="598"/>
      <c r="V143" s="598"/>
      <c r="W143" s="598"/>
      <c r="X143" s="584"/>
      <c r="Y143" s="584"/>
      <c r="Z143" s="599"/>
      <c r="AA143" s="600"/>
      <c r="AB143" s="600"/>
    </row>
    <row r="144" spans="1:28" ht="15.75" hidden="1" outlineLevel="1">
      <c r="A144" s="584"/>
      <c r="E144" s="1593" t="s">
        <v>504</v>
      </c>
      <c r="F144" s="1593" t="s">
        <v>1162</v>
      </c>
      <c r="G144" s="1570" t="s">
        <v>1163</v>
      </c>
      <c r="H144" s="1570" t="s">
        <v>1152</v>
      </c>
      <c r="I144" s="1570" t="s">
        <v>1164</v>
      </c>
      <c r="J144" s="1593" t="s">
        <v>123</v>
      </c>
      <c r="K144" s="598"/>
      <c r="O144" s="595"/>
      <c r="P144" s="596"/>
      <c r="Q144" s="597"/>
      <c r="R144" s="597"/>
      <c r="S144" s="597"/>
      <c r="T144" s="598"/>
      <c r="U144" s="598"/>
      <c r="V144" s="598"/>
      <c r="W144" s="598"/>
      <c r="X144" s="584"/>
      <c r="Y144" s="584"/>
      <c r="Z144" s="599"/>
      <c r="AA144" s="600"/>
      <c r="AB144" s="600"/>
    </row>
    <row r="145" spans="1:28" ht="15.75" hidden="1" outlineLevel="1">
      <c r="A145" s="584">
        <v>1</v>
      </c>
      <c r="B145" t="str">
        <f>+B$30</f>
        <v xml:space="preserve">Carson City </v>
      </c>
      <c r="E145" s="1594">
        <f>+E124-E135</f>
        <v>10</v>
      </c>
      <c r="F145" s="1594">
        <f t="shared" ref="F145:I145" si="37">+F124-F135</f>
        <v>0</v>
      </c>
      <c r="G145" s="1594">
        <f t="shared" si="37"/>
        <v>3</v>
      </c>
      <c r="H145" s="1594">
        <f t="shared" si="37"/>
        <v>2</v>
      </c>
      <c r="I145" s="1594">
        <f t="shared" si="37"/>
        <v>0</v>
      </c>
      <c r="J145" s="1585">
        <f t="shared" ref="J145:J151" si="38">SUM(E145:I145)</f>
        <v>15</v>
      </c>
      <c r="K145" s="5"/>
      <c r="O145" s="595"/>
      <c r="P145" s="596"/>
      <c r="Q145" s="597"/>
      <c r="R145" s="597"/>
      <c r="S145" s="597"/>
      <c r="T145" s="598"/>
      <c r="U145" s="598"/>
      <c r="V145" s="598"/>
      <c r="W145" s="598"/>
      <c r="X145" s="584"/>
      <c r="Y145" s="584"/>
      <c r="Z145" s="599"/>
      <c r="AA145" s="600"/>
      <c r="AB145" s="600"/>
    </row>
    <row r="146" spans="1:28" ht="15.75" hidden="1" outlineLevel="1">
      <c r="A146" s="584">
        <f>1+A145</f>
        <v>2</v>
      </c>
      <c r="B146" t="str">
        <f>+$B$31</f>
        <v xml:space="preserve">Churchill </v>
      </c>
      <c r="E146" s="1595">
        <f t="shared" ref="E146:I146" si="39">+E125-E136</f>
        <v>10</v>
      </c>
      <c r="F146" s="1595">
        <f t="shared" si="39"/>
        <v>0</v>
      </c>
      <c r="G146" s="1595">
        <f t="shared" si="39"/>
        <v>3</v>
      </c>
      <c r="H146" s="1595">
        <f t="shared" si="39"/>
        <v>2</v>
      </c>
      <c r="I146" s="1595">
        <f t="shared" si="39"/>
        <v>0</v>
      </c>
      <c r="J146" s="1585">
        <f t="shared" si="38"/>
        <v>15</v>
      </c>
      <c r="K146" s="5"/>
      <c r="O146" s="595"/>
      <c r="P146" s="596"/>
      <c r="Q146" s="597"/>
      <c r="R146" s="597"/>
      <c r="S146" s="597"/>
      <c r="T146" s="598"/>
      <c r="U146" s="598"/>
      <c r="V146" s="598"/>
      <c r="W146" s="598"/>
      <c r="X146" s="584"/>
      <c r="Y146" s="584"/>
      <c r="Z146" s="599"/>
      <c r="AA146" s="600"/>
      <c r="AB146" s="600"/>
    </row>
    <row r="147" spans="1:28" ht="15.75" hidden="1" outlineLevel="1">
      <c r="A147" s="584">
        <f t="shared" ref="A147:A150" si="40">1+A146</f>
        <v>3</v>
      </c>
      <c r="B147" t="str">
        <f>+$B$32</f>
        <v xml:space="preserve">Clark </v>
      </c>
      <c r="E147" s="1595">
        <f t="shared" ref="E147:I147" si="41">+E126-E137</f>
        <v>10</v>
      </c>
      <c r="F147" s="1595">
        <f t="shared" si="41"/>
        <v>0</v>
      </c>
      <c r="G147" s="1595">
        <f t="shared" si="41"/>
        <v>3</v>
      </c>
      <c r="H147" s="1595">
        <f t="shared" si="41"/>
        <v>2</v>
      </c>
      <c r="I147" s="1595">
        <f t="shared" si="41"/>
        <v>0</v>
      </c>
      <c r="J147" s="1585">
        <f t="shared" si="38"/>
        <v>15</v>
      </c>
      <c r="K147" s="5"/>
      <c r="O147" s="595"/>
      <c r="P147" s="596"/>
      <c r="Q147" s="597"/>
      <c r="R147" s="597"/>
      <c r="S147" s="597"/>
      <c r="T147" s="598"/>
      <c r="U147" s="598"/>
      <c r="V147" s="598"/>
      <c r="W147" s="598"/>
      <c r="X147" s="584"/>
      <c r="Y147" s="584"/>
      <c r="Z147" s="599"/>
      <c r="AA147" s="600"/>
      <c r="AB147" s="600"/>
    </row>
    <row r="148" spans="1:28" ht="15.75" hidden="1" outlineLevel="1">
      <c r="A148" s="584">
        <f t="shared" si="40"/>
        <v>4</v>
      </c>
      <c r="B148" t="str">
        <f>+$B$33</f>
        <v xml:space="preserve">Elko </v>
      </c>
      <c r="E148" s="1595">
        <f t="shared" ref="E148:I148" si="42">+E127-E138</f>
        <v>10</v>
      </c>
      <c r="F148" s="1595">
        <f t="shared" si="42"/>
        <v>0</v>
      </c>
      <c r="G148" s="1595">
        <f t="shared" si="42"/>
        <v>3</v>
      </c>
      <c r="H148" s="1595">
        <f t="shared" si="42"/>
        <v>2</v>
      </c>
      <c r="I148" s="1595">
        <f t="shared" si="42"/>
        <v>0</v>
      </c>
      <c r="J148" s="1585">
        <f t="shared" si="38"/>
        <v>15</v>
      </c>
      <c r="K148" s="5"/>
      <c r="O148" s="595"/>
      <c r="P148" s="596"/>
      <c r="Q148" s="597"/>
      <c r="R148" s="597"/>
      <c r="S148" s="597"/>
      <c r="T148" s="598"/>
      <c r="U148" s="598"/>
      <c r="V148" s="598"/>
      <c r="W148" s="598"/>
      <c r="X148" s="584"/>
      <c r="Y148" s="584"/>
      <c r="Z148" s="599"/>
      <c r="AA148" s="600"/>
      <c r="AB148" s="600"/>
    </row>
    <row r="149" spans="1:28" ht="15.75" hidden="1" outlineLevel="1">
      <c r="A149" s="584">
        <f t="shared" si="40"/>
        <v>5</v>
      </c>
      <c r="B149" t="str">
        <f>+$B$34</f>
        <v xml:space="preserve">Washoe </v>
      </c>
      <c r="E149" s="1595">
        <f t="shared" ref="E149:I149" si="43">+E128-E139</f>
        <v>10</v>
      </c>
      <c r="F149" s="1595">
        <f t="shared" si="43"/>
        <v>0</v>
      </c>
      <c r="G149" s="1595">
        <f t="shared" si="43"/>
        <v>3</v>
      </c>
      <c r="H149" s="1595">
        <f t="shared" si="43"/>
        <v>2</v>
      </c>
      <c r="I149" s="1595">
        <f t="shared" si="43"/>
        <v>0</v>
      </c>
      <c r="J149" s="1585">
        <f t="shared" si="38"/>
        <v>15</v>
      </c>
      <c r="K149" s="5"/>
      <c r="O149" s="595"/>
      <c r="P149" s="596"/>
      <c r="Q149" s="597"/>
      <c r="R149" s="597"/>
      <c r="S149" s="597"/>
      <c r="T149" s="598"/>
      <c r="U149" s="598"/>
      <c r="V149" s="598"/>
      <c r="W149" s="598"/>
      <c r="X149" s="584"/>
      <c r="Y149" s="584"/>
      <c r="Z149" s="599"/>
      <c r="AA149" s="600"/>
      <c r="AB149" s="600"/>
    </row>
    <row r="150" spans="1:28" ht="15.75" hidden="1" outlineLevel="1">
      <c r="A150" s="584">
        <f t="shared" si="40"/>
        <v>6</v>
      </c>
      <c r="B150" t="str">
        <f>+$B$35</f>
        <v xml:space="preserve">White Pine </v>
      </c>
      <c r="E150" s="1596">
        <f t="shared" ref="E150:I150" si="44">+E129-E140</f>
        <v>10</v>
      </c>
      <c r="F150" s="1596">
        <f t="shared" si="44"/>
        <v>0</v>
      </c>
      <c r="G150" s="1596">
        <f t="shared" si="44"/>
        <v>3</v>
      </c>
      <c r="H150" s="1596">
        <f t="shared" si="44"/>
        <v>2</v>
      </c>
      <c r="I150" s="1596">
        <f t="shared" si="44"/>
        <v>0</v>
      </c>
      <c r="J150" s="1585">
        <f t="shared" si="38"/>
        <v>15</v>
      </c>
      <c r="K150" s="5"/>
      <c r="O150" s="595"/>
      <c r="P150" s="596"/>
      <c r="Q150" s="597"/>
      <c r="R150" s="597"/>
      <c r="S150" s="597"/>
      <c r="T150" s="598"/>
      <c r="U150" s="598"/>
      <c r="V150" s="598"/>
      <c r="W150" s="598"/>
      <c r="X150" s="584"/>
      <c r="Y150" s="584"/>
      <c r="Z150" s="599"/>
      <c r="AA150" s="600"/>
      <c r="AB150" s="600"/>
    </row>
    <row r="151" spans="1:28" ht="15.75" hidden="1" outlineLevel="1">
      <c r="A151" s="584"/>
      <c r="B151" s="1592" t="s">
        <v>123</v>
      </c>
      <c r="C151" s="1592"/>
      <c r="D151" s="1592"/>
      <c r="E151" s="1589">
        <f>SUM(E145:E150)</f>
        <v>60</v>
      </c>
      <c r="F151" s="1589">
        <f t="shared" ref="F151:I151" si="45">SUM(F145:F150)</f>
        <v>0</v>
      </c>
      <c r="G151" s="1589">
        <f t="shared" si="45"/>
        <v>18</v>
      </c>
      <c r="H151" s="1589">
        <f t="shared" si="45"/>
        <v>12</v>
      </c>
      <c r="I151" s="1589">
        <f t="shared" si="45"/>
        <v>0</v>
      </c>
      <c r="J151" s="1589">
        <f t="shared" si="38"/>
        <v>90</v>
      </c>
      <c r="K151" s="5"/>
      <c r="O151" s="595"/>
      <c r="P151" s="596"/>
      <c r="Q151" s="597"/>
      <c r="R151" s="597"/>
      <c r="S151" s="597"/>
      <c r="T151" s="598"/>
      <c r="U151" s="598"/>
      <c r="V151" s="598"/>
      <c r="W151" s="598"/>
      <c r="X151" s="584"/>
      <c r="Y151" s="584"/>
      <c r="Z151" s="599"/>
      <c r="AA151" s="600"/>
      <c r="AB151" s="600"/>
    </row>
    <row r="152" spans="1:28" ht="15.75" hidden="1" outlineLevel="1">
      <c r="A152" s="584"/>
      <c r="O152" s="595"/>
      <c r="P152" s="596"/>
      <c r="Q152" s="597"/>
      <c r="R152" s="597"/>
      <c r="S152" s="597"/>
      <c r="T152" s="598"/>
      <c r="U152" s="598"/>
      <c r="V152" s="598"/>
      <c r="W152" s="598"/>
      <c r="X152" s="584"/>
      <c r="Y152" s="584"/>
      <c r="Z152" s="599"/>
      <c r="AA152" s="600"/>
      <c r="AB152" s="600"/>
    </row>
    <row r="153" spans="1:28" ht="15.75" hidden="1" outlineLevel="1">
      <c r="A153" s="584"/>
      <c r="B153" s="1592" t="s">
        <v>1183</v>
      </c>
      <c r="C153" s="1592"/>
      <c r="D153" s="1592"/>
      <c r="E153" s="1589">
        <f>+E141+E151</f>
        <v>60</v>
      </c>
      <c r="F153" s="1589">
        <f t="shared" ref="F153:I153" si="46">+F141+F151</f>
        <v>24</v>
      </c>
      <c r="G153" s="1589">
        <f t="shared" si="46"/>
        <v>30</v>
      </c>
      <c r="H153" s="1589">
        <f t="shared" si="46"/>
        <v>30</v>
      </c>
      <c r="I153" s="1589">
        <f t="shared" si="46"/>
        <v>6</v>
      </c>
      <c r="J153" s="1589">
        <f>SUM(E153:I153)</f>
        <v>150</v>
      </c>
      <c r="O153" s="595"/>
      <c r="P153" s="596"/>
      <c r="Q153" s="597"/>
      <c r="R153" s="597"/>
      <c r="S153" s="597"/>
      <c r="T153" s="598"/>
      <c r="U153" s="598"/>
      <c r="V153" s="598"/>
      <c r="W153" s="598"/>
      <c r="X153" s="584"/>
      <c r="Y153" s="584"/>
      <c r="Z153" s="599"/>
      <c r="AA153" s="600"/>
      <c r="AB153" s="600"/>
    </row>
    <row r="154" spans="1:28" ht="15.75" hidden="1" outlineLevel="1">
      <c r="A154" s="584"/>
      <c r="O154" s="595"/>
      <c r="P154" s="596"/>
      <c r="Q154" s="597"/>
      <c r="R154" s="597"/>
      <c r="S154" s="597"/>
      <c r="T154" s="598"/>
      <c r="U154" s="598"/>
      <c r="V154" s="598"/>
      <c r="W154" s="598"/>
      <c r="X154" s="584"/>
      <c r="Y154" s="584"/>
      <c r="Z154" s="599"/>
      <c r="AA154" s="600"/>
      <c r="AB154" s="600"/>
    </row>
    <row r="155" spans="1:28" ht="15.75" hidden="1" outlineLevel="1">
      <c r="A155" s="584"/>
      <c r="B155" s="1611" t="s">
        <v>1178</v>
      </c>
      <c r="C155" s="1611"/>
      <c r="D155" s="1611"/>
      <c r="E155" s="1612"/>
      <c r="F155" s="1526"/>
      <c r="G155" s="1611"/>
      <c r="H155" s="1613"/>
      <c r="I155" s="1613"/>
      <c r="J155" s="1614"/>
      <c r="O155" s="595"/>
      <c r="P155" s="596"/>
      <c r="Q155" s="597"/>
      <c r="R155" s="597"/>
      <c r="S155" s="597"/>
      <c r="T155" s="598"/>
      <c r="U155" s="598"/>
      <c r="V155" s="598"/>
      <c r="W155" s="598"/>
      <c r="X155" s="584"/>
      <c r="Y155" s="584"/>
      <c r="Z155" s="599"/>
      <c r="AA155" s="600"/>
      <c r="AB155" s="600"/>
    </row>
    <row r="156" spans="1:28" ht="15.75" hidden="1" outlineLevel="1">
      <c r="A156" s="584"/>
      <c r="B156" s="1605" t="s">
        <v>1184</v>
      </c>
      <c r="C156" s="1605"/>
      <c r="D156" s="1605"/>
      <c r="E156" s="1605"/>
      <c r="F156" s="1522"/>
      <c r="G156" s="1605"/>
      <c r="H156" s="1606"/>
      <c r="I156" s="1606"/>
      <c r="J156" s="1607"/>
      <c r="O156" s="595"/>
      <c r="P156" s="596"/>
      <c r="Q156" s="597"/>
      <c r="R156" s="597"/>
      <c r="S156" s="597"/>
      <c r="T156" s="598"/>
      <c r="U156" s="598"/>
      <c r="V156" s="598"/>
      <c r="W156" s="598"/>
      <c r="X156" s="584"/>
      <c r="Y156" s="584"/>
      <c r="Z156" s="599"/>
      <c r="AA156" s="600"/>
      <c r="AB156" s="600"/>
    </row>
    <row r="157" spans="1:28" ht="15.75" hidden="1" outlineLevel="2">
      <c r="A157" s="584"/>
      <c r="B157" s="1509"/>
      <c r="C157" s="1509"/>
      <c r="D157" s="1509"/>
      <c r="E157" s="1509" t="s">
        <v>1179</v>
      </c>
      <c r="F157" s="1504"/>
      <c r="G157" s="1509"/>
      <c r="H157" s="636"/>
      <c r="I157" s="636"/>
      <c r="J157" s="1599"/>
      <c r="O157" s="595"/>
      <c r="P157" s="596"/>
      <c r="Q157" s="597"/>
      <c r="R157" s="597"/>
      <c r="S157" s="597"/>
      <c r="T157" s="598"/>
      <c r="U157" s="598"/>
      <c r="V157" s="598"/>
      <c r="W157" s="598"/>
      <c r="X157" s="584"/>
      <c r="Y157" s="584"/>
      <c r="Z157" s="599"/>
      <c r="AA157" s="600"/>
      <c r="AB157" s="600"/>
    </row>
    <row r="158" spans="1:28" ht="15.75" hidden="1" outlineLevel="2">
      <c r="A158" s="584"/>
      <c r="B158" s="1570"/>
      <c r="C158" s="1570"/>
      <c r="D158" s="1570"/>
      <c r="E158" s="1570" t="s">
        <v>504</v>
      </c>
      <c r="F158" s="1570" t="s">
        <v>1162</v>
      </c>
      <c r="G158" s="1570" t="s">
        <v>1163</v>
      </c>
      <c r="H158" s="1570" t="s">
        <v>1152</v>
      </c>
      <c r="I158" s="1570" t="s">
        <v>1164</v>
      </c>
      <c r="J158" s="1570" t="s">
        <v>123</v>
      </c>
      <c r="O158" s="595"/>
      <c r="P158" s="596"/>
      <c r="Q158" s="597"/>
      <c r="R158" s="597"/>
      <c r="S158" s="597"/>
      <c r="T158" s="598"/>
      <c r="U158" s="598"/>
      <c r="V158" s="598"/>
      <c r="W158" s="598"/>
      <c r="X158" s="584"/>
      <c r="Y158" s="584"/>
      <c r="Z158" s="599"/>
      <c r="AA158" s="600"/>
      <c r="AB158" s="600"/>
    </row>
    <row r="159" spans="1:28" ht="15.75" hidden="1" outlineLevel="2">
      <c r="A159" s="584">
        <v>1</v>
      </c>
      <c r="B159" t="str">
        <f>+B$30</f>
        <v xml:space="preserve">Carson City </v>
      </c>
      <c r="E159" s="1579">
        <v>100</v>
      </c>
      <c r="F159" s="1579">
        <v>40</v>
      </c>
      <c r="G159" s="1579">
        <v>50</v>
      </c>
      <c r="H159" s="1579">
        <v>50</v>
      </c>
      <c r="I159" s="1579">
        <v>2</v>
      </c>
      <c r="J159" s="1598">
        <f t="shared" ref="J159:J165" si="47">SUM(E159:I159)</f>
        <v>242</v>
      </c>
      <c r="O159" s="595"/>
      <c r="P159" s="596"/>
      <c r="Q159" s="597"/>
      <c r="R159" s="597"/>
      <c r="S159" s="597"/>
      <c r="T159" s="598"/>
      <c r="U159" s="598"/>
      <c r="V159" s="598"/>
      <c r="W159" s="598"/>
      <c r="X159" s="584"/>
      <c r="Y159" s="584"/>
      <c r="Z159" s="599"/>
      <c r="AA159" s="600"/>
      <c r="AB159" s="600"/>
    </row>
    <row r="160" spans="1:28" ht="15.75" hidden="1" outlineLevel="2">
      <c r="A160" s="584">
        <f>1+A159</f>
        <v>2</v>
      </c>
      <c r="B160" t="str">
        <f>+$B$31</f>
        <v xml:space="preserve">Churchill </v>
      </c>
      <c r="E160" s="1579"/>
      <c r="F160" s="1579">
        <v>30</v>
      </c>
      <c r="G160" s="1579">
        <v>0</v>
      </c>
      <c r="H160" s="1579">
        <v>0</v>
      </c>
      <c r="I160" s="1579">
        <v>0</v>
      </c>
      <c r="J160" s="1580">
        <f t="shared" si="47"/>
        <v>30</v>
      </c>
      <c r="O160" s="595"/>
      <c r="P160" s="596"/>
      <c r="Q160" s="597"/>
      <c r="R160" s="597"/>
      <c r="S160" s="597"/>
      <c r="T160" s="598"/>
      <c r="U160" s="598"/>
      <c r="V160" s="598"/>
      <c r="W160" s="598"/>
      <c r="X160" s="584"/>
      <c r="Y160" s="584"/>
      <c r="Z160" s="599"/>
      <c r="AA160" s="600"/>
      <c r="AB160" s="600"/>
    </row>
    <row r="161" spans="1:28" ht="15.75" hidden="1" outlineLevel="2">
      <c r="A161" s="584">
        <f t="shared" ref="A161:A164" si="48">1+A160</f>
        <v>3</v>
      </c>
      <c r="B161" t="str">
        <f>+$B$32</f>
        <v xml:space="preserve">Clark </v>
      </c>
      <c r="E161" s="1579"/>
      <c r="F161" s="1579">
        <v>30</v>
      </c>
      <c r="G161" s="1579">
        <v>0</v>
      </c>
      <c r="H161" s="1579">
        <v>0</v>
      </c>
      <c r="I161" s="1579">
        <v>0</v>
      </c>
      <c r="J161" s="1580">
        <f t="shared" si="47"/>
        <v>30</v>
      </c>
      <c r="O161" s="595"/>
      <c r="P161" s="596"/>
      <c r="Q161" s="597"/>
      <c r="R161" s="597"/>
      <c r="S161" s="597"/>
      <c r="T161" s="598"/>
      <c r="U161" s="598"/>
      <c r="V161" s="598"/>
      <c r="W161" s="598"/>
      <c r="X161" s="584"/>
      <c r="Y161" s="584"/>
      <c r="Z161" s="599"/>
      <c r="AA161" s="600"/>
      <c r="AB161" s="600"/>
    </row>
    <row r="162" spans="1:28" ht="15.75" hidden="1" outlineLevel="2">
      <c r="A162" s="584">
        <f t="shared" si="48"/>
        <v>4</v>
      </c>
      <c r="B162" t="str">
        <f>+$B$33</f>
        <v xml:space="preserve">Elko </v>
      </c>
      <c r="E162" s="1579"/>
      <c r="F162" s="1579">
        <v>5</v>
      </c>
      <c r="G162" s="1579">
        <v>0</v>
      </c>
      <c r="H162" s="1579">
        <v>0</v>
      </c>
      <c r="I162" s="1579">
        <v>0</v>
      </c>
      <c r="J162" s="1580">
        <f t="shared" si="47"/>
        <v>5</v>
      </c>
      <c r="O162" s="595"/>
      <c r="P162" s="596"/>
      <c r="Q162" s="597"/>
      <c r="R162" s="597"/>
      <c r="S162" s="597"/>
      <c r="T162" s="598"/>
      <c r="U162" s="598"/>
      <c r="V162" s="598"/>
      <c r="W162" s="598"/>
      <c r="X162" s="584"/>
      <c r="Y162" s="584"/>
      <c r="Z162" s="599"/>
      <c r="AA162" s="600"/>
      <c r="AB162" s="600"/>
    </row>
    <row r="163" spans="1:28" ht="15.75" hidden="1" outlineLevel="2">
      <c r="A163" s="584">
        <f t="shared" si="48"/>
        <v>5</v>
      </c>
      <c r="B163" t="str">
        <f>+$B$34</f>
        <v xml:space="preserve">Washoe </v>
      </c>
      <c r="E163" s="1590"/>
      <c r="F163" s="1590">
        <v>10</v>
      </c>
      <c r="G163" s="1590">
        <v>0</v>
      </c>
      <c r="H163" s="1590">
        <v>0</v>
      </c>
      <c r="I163" s="1590">
        <v>0</v>
      </c>
      <c r="J163" s="1580">
        <f t="shared" si="47"/>
        <v>10</v>
      </c>
      <c r="O163" s="595"/>
      <c r="P163" s="596"/>
      <c r="Q163" s="597"/>
      <c r="R163" s="597"/>
      <c r="S163" s="597"/>
      <c r="T163" s="598"/>
      <c r="U163" s="598"/>
      <c r="V163" s="598"/>
      <c r="W163" s="598"/>
      <c r="X163" s="584"/>
      <c r="Y163" s="584"/>
      <c r="Z163" s="599"/>
      <c r="AA163" s="600"/>
      <c r="AB163" s="600"/>
    </row>
    <row r="164" spans="1:28" ht="15.75" hidden="1" outlineLevel="2">
      <c r="A164" s="584">
        <f t="shared" si="48"/>
        <v>6</v>
      </c>
      <c r="B164" t="str">
        <f>+$B$35</f>
        <v xml:space="preserve">White Pine </v>
      </c>
      <c r="E164" s="1590"/>
      <c r="F164" s="1590">
        <v>10</v>
      </c>
      <c r="G164" s="1590">
        <v>0</v>
      </c>
      <c r="H164" s="1590">
        <v>0</v>
      </c>
      <c r="I164" s="1590">
        <v>0</v>
      </c>
      <c r="J164" s="1591">
        <f t="shared" si="47"/>
        <v>10</v>
      </c>
      <c r="O164" s="595"/>
      <c r="P164" s="596"/>
      <c r="Q164" s="597"/>
      <c r="R164" s="597"/>
      <c r="S164" s="597"/>
      <c r="T164" s="598"/>
      <c r="U164" s="598"/>
      <c r="V164" s="598"/>
      <c r="W164" s="598"/>
      <c r="X164" s="584"/>
      <c r="Y164" s="584"/>
      <c r="Z164" s="599"/>
      <c r="AA164" s="600"/>
      <c r="AB164" s="600"/>
    </row>
    <row r="165" spans="1:28" ht="15.75" hidden="1" outlineLevel="2">
      <c r="A165" s="584"/>
      <c r="B165" s="1592" t="s">
        <v>123</v>
      </c>
      <c r="C165" s="1592"/>
      <c r="D165" s="1592"/>
      <c r="E165" s="1597">
        <f>SUM(E159:E164)</f>
        <v>100</v>
      </c>
      <c r="F165" s="1597">
        <f>SUM(F159:F164)</f>
        <v>125</v>
      </c>
      <c r="G165" s="1597">
        <f t="shared" ref="G165" si="49">SUM(G159:G164)</f>
        <v>50</v>
      </c>
      <c r="H165" s="1597">
        <f t="shared" ref="H165" si="50">SUM(H159:H164)</f>
        <v>50</v>
      </c>
      <c r="I165" s="1597">
        <f t="shared" ref="I165" si="51">SUM(I159:I164)</f>
        <v>2</v>
      </c>
      <c r="J165" s="1597">
        <f t="shared" si="47"/>
        <v>327</v>
      </c>
      <c r="O165" s="595"/>
      <c r="P165" s="596"/>
      <c r="Q165" s="597"/>
      <c r="R165" s="597"/>
      <c r="S165" s="597"/>
      <c r="T165" s="598"/>
      <c r="U165" s="598"/>
      <c r="V165" s="598"/>
      <c r="W165" s="598"/>
      <c r="X165" s="584"/>
      <c r="Y165" s="584"/>
      <c r="Z165" s="599"/>
      <c r="AA165" s="600"/>
      <c r="AB165" s="600"/>
    </row>
    <row r="166" spans="1:28" ht="15.75" hidden="1" outlineLevel="2">
      <c r="A166" s="584"/>
      <c r="J166" s="1585"/>
      <c r="O166" s="595"/>
      <c r="P166" s="596"/>
      <c r="Q166" s="597"/>
      <c r="R166" s="597"/>
      <c r="S166" s="597"/>
      <c r="T166" s="598"/>
      <c r="U166" s="598"/>
      <c r="V166" s="598"/>
      <c r="W166" s="598"/>
      <c r="X166" s="584"/>
      <c r="Y166" s="584"/>
      <c r="Z166" s="599"/>
      <c r="AA166" s="600"/>
      <c r="AB166" s="600"/>
    </row>
    <row r="167" spans="1:28" ht="15.75" hidden="1" outlineLevel="2">
      <c r="A167" s="584"/>
      <c r="E167" s="1509" t="s">
        <v>1185</v>
      </c>
      <c r="F167" s="1504"/>
      <c r="G167" s="1509"/>
      <c r="H167" s="1509"/>
      <c r="I167" s="1509"/>
      <c r="J167" s="636"/>
      <c r="O167" s="595"/>
      <c r="P167" s="596"/>
      <c r="Q167" s="597"/>
      <c r="R167" s="597"/>
      <c r="S167" s="597"/>
      <c r="T167" s="598"/>
      <c r="U167" s="598"/>
      <c r="V167" s="598"/>
      <c r="W167" s="598"/>
      <c r="X167" s="584"/>
      <c r="Y167" s="584"/>
      <c r="Z167" s="599"/>
      <c r="AA167" s="600"/>
      <c r="AB167" s="600"/>
    </row>
    <row r="168" spans="1:28" ht="15.75" hidden="1" outlineLevel="2">
      <c r="A168" s="584"/>
      <c r="E168" s="1570" t="s">
        <v>504</v>
      </c>
      <c r="F168" s="1570" t="s">
        <v>1162</v>
      </c>
      <c r="G168" s="1570" t="s">
        <v>1163</v>
      </c>
      <c r="H168" s="1570" t="s">
        <v>1152</v>
      </c>
      <c r="I168" s="1570" t="s">
        <v>1164</v>
      </c>
      <c r="J168" s="1581"/>
      <c r="O168" s="595"/>
      <c r="P168" s="596"/>
      <c r="Q168" s="597"/>
      <c r="R168" s="597"/>
      <c r="S168" s="597"/>
      <c r="T168" s="598"/>
      <c r="U168" s="598"/>
      <c r="V168" s="598"/>
      <c r="W168" s="598"/>
      <c r="X168" s="584"/>
      <c r="Y168" s="584"/>
      <c r="Z168" s="599"/>
      <c r="AA168" s="600"/>
      <c r="AB168" s="600"/>
    </row>
    <row r="169" spans="1:28" ht="15.75" hidden="1" outlineLevel="2">
      <c r="A169" s="584"/>
      <c r="E169" s="1581"/>
      <c r="F169" s="1578">
        <f>+E145</f>
        <v>10</v>
      </c>
      <c r="G169" s="1578">
        <f>+E146</f>
        <v>10</v>
      </c>
      <c r="H169" s="1578">
        <f>+E147</f>
        <v>10</v>
      </c>
      <c r="I169" s="1578">
        <f>+E148</f>
        <v>10</v>
      </c>
      <c r="J169" s="1570" t="s">
        <v>123</v>
      </c>
      <c r="O169" s="595"/>
      <c r="P169" s="596"/>
      <c r="Q169" s="597"/>
      <c r="R169" s="597"/>
      <c r="S169" s="597"/>
      <c r="T169" s="598"/>
      <c r="U169" s="598"/>
      <c r="V169" s="598"/>
      <c r="W169" s="598"/>
      <c r="X169" s="584"/>
      <c r="Y169" s="584"/>
      <c r="Z169" s="599"/>
      <c r="AA169" s="600"/>
      <c r="AB169" s="600"/>
    </row>
    <row r="170" spans="1:28" ht="15.75" hidden="1" outlineLevel="2">
      <c r="A170" s="584">
        <v>1</v>
      </c>
      <c r="B170" t="str">
        <f>+B$30</f>
        <v xml:space="preserve">Carson City </v>
      </c>
      <c r="E170" s="1583"/>
      <c r="F170" s="1584">
        <v>20</v>
      </c>
      <c r="G170" s="1584">
        <v>20</v>
      </c>
      <c r="H170" s="1584">
        <v>30</v>
      </c>
      <c r="I170" s="1584">
        <v>1</v>
      </c>
      <c r="J170" s="1598">
        <f t="shared" ref="J170:J176" si="52">SUM(E170:I170)</f>
        <v>71</v>
      </c>
      <c r="O170" s="595"/>
      <c r="P170" s="596"/>
      <c r="Q170" s="597"/>
      <c r="R170" s="597"/>
      <c r="S170" s="597"/>
      <c r="T170" s="598"/>
      <c r="U170" s="598"/>
      <c r="V170" s="598"/>
      <c r="W170" s="598"/>
      <c r="X170" s="584"/>
      <c r="Y170" s="584"/>
      <c r="Z170" s="599"/>
      <c r="AA170" s="600"/>
      <c r="AB170" s="600"/>
    </row>
    <row r="171" spans="1:28" ht="15.75" hidden="1" outlineLevel="2">
      <c r="A171" s="584">
        <f>1+A170</f>
        <v>2</v>
      </c>
      <c r="B171" t="str">
        <f>+$B$31</f>
        <v xml:space="preserve">Churchill </v>
      </c>
      <c r="E171" s="1583"/>
      <c r="F171" s="1586">
        <v>0</v>
      </c>
      <c r="G171" s="1586"/>
      <c r="H171" s="1586"/>
      <c r="I171" s="1586"/>
      <c r="J171" s="1580">
        <f t="shared" si="52"/>
        <v>0</v>
      </c>
      <c r="O171" s="595"/>
      <c r="P171" s="596"/>
      <c r="Q171" s="597"/>
      <c r="R171" s="597"/>
      <c r="S171" s="597"/>
      <c r="T171" s="598"/>
      <c r="U171" s="598"/>
      <c r="V171" s="598"/>
      <c r="W171" s="598"/>
      <c r="X171" s="584"/>
      <c r="Y171" s="584"/>
      <c r="Z171" s="599"/>
      <c r="AA171" s="600"/>
      <c r="AB171" s="600"/>
    </row>
    <row r="172" spans="1:28" ht="15.75" hidden="1" outlineLevel="2">
      <c r="A172" s="584">
        <f t="shared" ref="A172:A175" si="53">1+A171</f>
        <v>3</v>
      </c>
      <c r="B172" t="str">
        <f>+$B$32</f>
        <v xml:space="preserve">Clark </v>
      </c>
      <c r="E172" s="1583"/>
      <c r="F172" s="1586">
        <v>30</v>
      </c>
      <c r="G172" s="1586"/>
      <c r="H172" s="1586"/>
      <c r="I172" s="1586"/>
      <c r="J172" s="1580">
        <f t="shared" si="52"/>
        <v>30</v>
      </c>
      <c r="O172" s="595"/>
      <c r="P172" s="596"/>
      <c r="Q172" s="597"/>
      <c r="R172" s="597"/>
      <c r="S172" s="597"/>
      <c r="T172" s="598"/>
      <c r="U172" s="598"/>
      <c r="V172" s="598"/>
      <c r="W172" s="598"/>
      <c r="X172" s="584"/>
      <c r="Y172" s="584"/>
      <c r="Z172" s="599"/>
      <c r="AA172" s="600"/>
      <c r="AB172" s="600"/>
    </row>
    <row r="173" spans="1:28" ht="15.75" hidden="1" outlineLevel="2">
      <c r="A173" s="584">
        <f t="shared" si="53"/>
        <v>4</v>
      </c>
      <c r="B173" t="str">
        <f>+$B$33</f>
        <v xml:space="preserve">Elko </v>
      </c>
      <c r="E173" s="1583"/>
      <c r="F173" s="1586">
        <v>5</v>
      </c>
      <c r="G173" s="1586"/>
      <c r="H173" s="1586"/>
      <c r="I173" s="1586"/>
      <c r="J173" s="1580">
        <f t="shared" si="52"/>
        <v>5</v>
      </c>
      <c r="O173" s="595"/>
      <c r="P173" s="596"/>
      <c r="Q173" s="597"/>
      <c r="R173" s="597"/>
      <c r="S173" s="597"/>
      <c r="T173" s="598"/>
      <c r="U173" s="598"/>
      <c r="V173" s="598"/>
      <c r="W173" s="598"/>
      <c r="X173" s="584"/>
      <c r="Y173" s="584"/>
      <c r="Z173" s="599"/>
      <c r="AA173" s="600"/>
      <c r="AB173" s="600"/>
    </row>
    <row r="174" spans="1:28" ht="15.75" hidden="1" outlineLevel="2">
      <c r="A174" s="584">
        <f t="shared" si="53"/>
        <v>5</v>
      </c>
      <c r="B174" t="str">
        <f>+$B$34</f>
        <v xml:space="preserve">Washoe </v>
      </c>
      <c r="E174" s="1583"/>
      <c r="F174" s="1586">
        <v>10</v>
      </c>
      <c r="G174" s="1586"/>
      <c r="H174" s="1586"/>
      <c r="I174" s="1586"/>
      <c r="J174" s="1580">
        <f t="shared" si="52"/>
        <v>10</v>
      </c>
      <c r="O174" s="595"/>
      <c r="P174" s="596"/>
      <c r="Q174" s="597"/>
      <c r="R174" s="597"/>
      <c r="S174" s="597"/>
      <c r="T174" s="598"/>
      <c r="U174" s="598"/>
      <c r="V174" s="598"/>
      <c r="W174" s="598"/>
      <c r="X174" s="584"/>
      <c r="Y174" s="584"/>
      <c r="Z174" s="599"/>
      <c r="AA174" s="600"/>
      <c r="AB174" s="600"/>
    </row>
    <row r="175" spans="1:28" ht="15.75" hidden="1" outlineLevel="2">
      <c r="A175" s="584">
        <f t="shared" si="53"/>
        <v>6</v>
      </c>
      <c r="B175" t="str">
        <f>+$B$35</f>
        <v xml:space="preserve">White Pine </v>
      </c>
      <c r="E175" s="1583"/>
      <c r="F175" s="1587">
        <v>0</v>
      </c>
      <c r="G175" s="1587"/>
      <c r="H175" s="1587"/>
      <c r="I175" s="1587"/>
      <c r="J175" s="1591">
        <f t="shared" si="52"/>
        <v>0</v>
      </c>
      <c r="O175" s="595"/>
      <c r="P175" s="596"/>
      <c r="Q175" s="597"/>
      <c r="R175" s="597"/>
      <c r="S175" s="597"/>
      <c r="T175" s="598"/>
      <c r="U175" s="598"/>
      <c r="V175" s="598"/>
      <c r="W175" s="598"/>
      <c r="X175" s="584"/>
      <c r="Y175" s="584"/>
      <c r="Z175" s="599"/>
      <c r="AA175" s="600"/>
      <c r="AB175" s="600"/>
    </row>
    <row r="176" spans="1:28" ht="15.75" hidden="1" outlineLevel="2">
      <c r="A176" s="584"/>
      <c r="B176" s="1592" t="s">
        <v>123</v>
      </c>
      <c r="C176" s="1592"/>
      <c r="D176" s="1592"/>
      <c r="E176" s="1588"/>
      <c r="F176" s="1589">
        <f t="shared" ref="F176" si="54">SUM(F170:F175)</f>
        <v>65</v>
      </c>
      <c r="G176" s="1589">
        <f t="shared" ref="G176" si="55">SUM(G170:G175)</f>
        <v>20</v>
      </c>
      <c r="H176" s="1589">
        <f t="shared" ref="H176" si="56">SUM(H170:H175)</f>
        <v>30</v>
      </c>
      <c r="I176" s="1589">
        <f t="shared" ref="I176" si="57">SUM(I170:I175)</f>
        <v>1</v>
      </c>
      <c r="J176" s="1597">
        <f t="shared" si="52"/>
        <v>116</v>
      </c>
      <c r="O176" s="595"/>
      <c r="P176" s="596"/>
      <c r="Q176" s="597"/>
      <c r="R176" s="597"/>
      <c r="S176" s="597"/>
      <c r="T176" s="598"/>
      <c r="U176" s="598"/>
      <c r="V176" s="598"/>
      <c r="W176" s="598"/>
      <c r="X176" s="584"/>
      <c r="Y176" s="584"/>
      <c r="Z176" s="599"/>
      <c r="AA176" s="600"/>
      <c r="AB176" s="600"/>
    </row>
    <row r="177" spans="1:28" ht="15.75" hidden="1" outlineLevel="2">
      <c r="A177" s="584"/>
      <c r="O177" s="595"/>
      <c r="P177" s="596"/>
      <c r="Q177" s="597"/>
      <c r="R177" s="597"/>
      <c r="S177" s="597"/>
      <c r="T177" s="598"/>
      <c r="U177" s="598"/>
      <c r="V177" s="598"/>
      <c r="W177" s="598"/>
      <c r="X177" s="584"/>
      <c r="Y177" s="584"/>
      <c r="Z177" s="599"/>
      <c r="AA177" s="600"/>
      <c r="AB177" s="600"/>
    </row>
    <row r="178" spans="1:28" ht="15.75" hidden="1" outlineLevel="2">
      <c r="A178" s="584"/>
      <c r="E178" s="1509"/>
      <c r="F178" s="1" t="s">
        <v>1182</v>
      </c>
      <c r="G178" s="636"/>
      <c r="H178" s="636"/>
      <c r="I178" s="636"/>
      <c r="O178" s="595"/>
      <c r="P178" s="596"/>
      <c r="Q178" s="597"/>
      <c r="R178" s="597"/>
      <c r="S178" s="597"/>
      <c r="T178" s="598"/>
      <c r="U178" s="598"/>
      <c r="V178" s="598"/>
      <c r="W178" s="598"/>
      <c r="X178" s="584"/>
      <c r="Y178" s="584"/>
      <c r="Z178" s="599"/>
      <c r="AA178" s="600"/>
      <c r="AB178" s="600"/>
    </row>
    <row r="179" spans="1:28" ht="15.75" hidden="1" outlineLevel="2">
      <c r="A179" s="584"/>
      <c r="E179" s="1570" t="s">
        <v>504</v>
      </c>
      <c r="F179" s="1593" t="s">
        <v>1162</v>
      </c>
      <c r="G179" s="1570" t="s">
        <v>1163</v>
      </c>
      <c r="H179" s="1570" t="s">
        <v>1152</v>
      </c>
      <c r="I179" s="1570" t="s">
        <v>1164</v>
      </c>
      <c r="O179" s="595"/>
      <c r="P179" s="596"/>
      <c r="Q179" s="597"/>
      <c r="R179" s="597"/>
      <c r="S179" s="597"/>
      <c r="T179" s="598"/>
      <c r="U179" s="598"/>
      <c r="V179" s="598"/>
      <c r="W179" s="598"/>
      <c r="X179" s="584"/>
      <c r="Y179" s="584"/>
      <c r="Z179" s="599"/>
      <c r="AA179" s="600"/>
      <c r="AB179" s="600"/>
    </row>
    <row r="180" spans="1:28" ht="15.75" hidden="1" outlineLevel="2">
      <c r="A180" s="584">
        <v>1</v>
      </c>
      <c r="B180" t="str">
        <f>+B$30</f>
        <v xml:space="preserve">Carson City </v>
      </c>
      <c r="E180" s="1594">
        <f>+E159-E170</f>
        <v>100</v>
      </c>
      <c r="F180" s="1594">
        <f t="shared" ref="F180:I180" si="58">+F159-F170</f>
        <v>20</v>
      </c>
      <c r="G180" s="1594">
        <f t="shared" si="58"/>
        <v>30</v>
      </c>
      <c r="H180" s="1594">
        <f t="shared" si="58"/>
        <v>20</v>
      </c>
      <c r="I180" s="1594">
        <f t="shared" si="58"/>
        <v>1</v>
      </c>
      <c r="J180" s="1585">
        <f t="shared" ref="J180:J186" si="59">SUM(E180:I180)</f>
        <v>171</v>
      </c>
      <c r="O180" s="595"/>
      <c r="P180" s="596"/>
      <c r="Q180" s="597"/>
      <c r="R180" s="597"/>
      <c r="S180" s="597"/>
      <c r="T180" s="598"/>
      <c r="U180" s="598"/>
      <c r="V180" s="598"/>
      <c r="W180" s="598"/>
      <c r="X180" s="584"/>
      <c r="Y180" s="584"/>
      <c r="Z180" s="599"/>
      <c r="AA180" s="600"/>
      <c r="AB180" s="600"/>
    </row>
    <row r="181" spans="1:28" ht="15.75" hidden="1" outlineLevel="2">
      <c r="A181" s="584">
        <f>1+A180</f>
        <v>2</v>
      </c>
      <c r="B181" t="str">
        <f>+$B$31</f>
        <v xml:space="preserve">Churchill </v>
      </c>
      <c r="E181" s="1595">
        <f t="shared" ref="E181:I181" si="60">+E160-E171</f>
        <v>0</v>
      </c>
      <c r="F181" s="1595">
        <f t="shared" si="60"/>
        <v>30</v>
      </c>
      <c r="G181" s="1595">
        <f t="shared" si="60"/>
        <v>0</v>
      </c>
      <c r="H181" s="1595">
        <f t="shared" si="60"/>
        <v>0</v>
      </c>
      <c r="I181" s="1595">
        <f t="shared" si="60"/>
        <v>0</v>
      </c>
      <c r="J181" s="1585">
        <f t="shared" si="59"/>
        <v>30</v>
      </c>
      <c r="O181" s="595"/>
      <c r="P181" s="596"/>
      <c r="Q181" s="597"/>
      <c r="R181" s="597"/>
      <c r="S181" s="597"/>
      <c r="T181" s="598"/>
      <c r="U181" s="598"/>
      <c r="V181" s="598"/>
      <c r="W181" s="598"/>
      <c r="X181" s="584"/>
      <c r="Y181" s="584"/>
      <c r="Z181" s="599"/>
      <c r="AA181" s="600"/>
      <c r="AB181" s="600"/>
    </row>
    <row r="182" spans="1:28" ht="15.75" hidden="1" outlineLevel="2">
      <c r="A182" s="584">
        <f t="shared" ref="A182:A185" si="61">1+A181</f>
        <v>3</v>
      </c>
      <c r="B182" t="str">
        <f>+$B$32</f>
        <v xml:space="preserve">Clark </v>
      </c>
      <c r="E182" s="1595">
        <f t="shared" ref="E182:I182" si="62">+E161-E172</f>
        <v>0</v>
      </c>
      <c r="F182" s="1595">
        <f t="shared" si="62"/>
        <v>0</v>
      </c>
      <c r="G182" s="1595">
        <f t="shared" si="62"/>
        <v>0</v>
      </c>
      <c r="H182" s="1595">
        <f t="shared" si="62"/>
        <v>0</v>
      </c>
      <c r="I182" s="1595">
        <f t="shared" si="62"/>
        <v>0</v>
      </c>
      <c r="J182" s="1585">
        <f t="shared" si="59"/>
        <v>0</v>
      </c>
      <c r="O182" s="595"/>
      <c r="P182" s="596"/>
      <c r="Q182" s="597"/>
      <c r="R182" s="597"/>
      <c r="S182" s="597"/>
      <c r="T182" s="598"/>
      <c r="U182" s="598"/>
      <c r="V182" s="598"/>
      <c r="W182" s="598"/>
      <c r="X182" s="584"/>
      <c r="Y182" s="584"/>
      <c r="Z182" s="599"/>
      <c r="AA182" s="600"/>
      <c r="AB182" s="600"/>
    </row>
    <row r="183" spans="1:28" ht="15.75" hidden="1" outlineLevel="2">
      <c r="A183" s="584">
        <f t="shared" si="61"/>
        <v>4</v>
      </c>
      <c r="B183" t="str">
        <f>+$B$33</f>
        <v xml:space="preserve">Elko </v>
      </c>
      <c r="E183" s="1595">
        <f t="shared" ref="E183:I183" si="63">+E162-E173</f>
        <v>0</v>
      </c>
      <c r="F183" s="1595">
        <f t="shared" si="63"/>
        <v>0</v>
      </c>
      <c r="G183" s="1595">
        <f t="shared" si="63"/>
        <v>0</v>
      </c>
      <c r="H183" s="1595">
        <f t="shared" si="63"/>
        <v>0</v>
      </c>
      <c r="I183" s="1595">
        <f t="shared" si="63"/>
        <v>0</v>
      </c>
      <c r="J183" s="1585">
        <f t="shared" si="59"/>
        <v>0</v>
      </c>
      <c r="O183" s="595"/>
      <c r="P183" s="596"/>
      <c r="Q183" s="597"/>
      <c r="R183" s="597"/>
      <c r="S183" s="597"/>
      <c r="T183" s="598"/>
      <c r="U183" s="598"/>
      <c r="V183" s="598"/>
      <c r="W183" s="598"/>
      <c r="X183" s="584"/>
      <c r="Y183" s="584"/>
      <c r="Z183" s="599"/>
      <c r="AA183" s="600"/>
      <c r="AB183" s="600"/>
    </row>
    <row r="184" spans="1:28" ht="15.75" hidden="1" outlineLevel="2">
      <c r="A184" s="584">
        <f t="shared" si="61"/>
        <v>5</v>
      </c>
      <c r="B184" t="str">
        <f>+$B$34</f>
        <v xml:space="preserve">Washoe </v>
      </c>
      <c r="E184" s="1595">
        <f t="shared" ref="E184:I184" si="64">+E163-E174</f>
        <v>0</v>
      </c>
      <c r="F184" s="1595">
        <f t="shared" si="64"/>
        <v>0</v>
      </c>
      <c r="G184" s="1595">
        <f t="shared" si="64"/>
        <v>0</v>
      </c>
      <c r="H184" s="1595">
        <f t="shared" si="64"/>
        <v>0</v>
      </c>
      <c r="I184" s="1595">
        <f t="shared" si="64"/>
        <v>0</v>
      </c>
      <c r="J184" s="1585">
        <f t="shared" si="59"/>
        <v>0</v>
      </c>
      <c r="O184" s="595"/>
      <c r="P184" s="596"/>
      <c r="Q184" s="597"/>
      <c r="R184" s="597"/>
      <c r="S184" s="597"/>
      <c r="T184" s="598"/>
      <c r="U184" s="598"/>
      <c r="V184" s="598"/>
      <c r="W184" s="598"/>
      <c r="X184" s="584"/>
      <c r="Y184" s="584"/>
      <c r="Z184" s="599"/>
      <c r="AA184" s="600"/>
      <c r="AB184" s="600"/>
    </row>
    <row r="185" spans="1:28" ht="15.75" hidden="1" outlineLevel="2">
      <c r="A185" s="584">
        <f t="shared" si="61"/>
        <v>6</v>
      </c>
      <c r="B185" t="str">
        <f>+$B$35</f>
        <v xml:space="preserve">White Pine </v>
      </c>
      <c r="E185" s="1596">
        <f t="shared" ref="E185:I185" si="65">+E164-E175</f>
        <v>0</v>
      </c>
      <c r="F185" s="1596">
        <f t="shared" si="65"/>
        <v>10</v>
      </c>
      <c r="G185" s="1596">
        <f t="shared" si="65"/>
        <v>0</v>
      </c>
      <c r="H185" s="1596">
        <f t="shared" si="65"/>
        <v>0</v>
      </c>
      <c r="I185" s="1596">
        <f t="shared" si="65"/>
        <v>0</v>
      </c>
      <c r="J185" s="1585">
        <f t="shared" si="59"/>
        <v>10</v>
      </c>
      <c r="O185" s="595"/>
      <c r="P185" s="596"/>
      <c r="Q185" s="597"/>
      <c r="R185" s="597"/>
      <c r="S185" s="597"/>
      <c r="T185" s="598"/>
      <c r="U185" s="598"/>
      <c r="V185" s="598"/>
      <c r="W185" s="598"/>
      <c r="X185" s="584"/>
      <c r="Y185" s="584"/>
      <c r="Z185" s="599"/>
      <c r="AA185" s="600"/>
      <c r="AB185" s="600"/>
    </row>
    <row r="186" spans="1:28" ht="15.75" hidden="1" outlineLevel="2">
      <c r="A186" s="584"/>
      <c r="B186" s="1592" t="s">
        <v>123</v>
      </c>
      <c r="C186" s="1592"/>
      <c r="D186" s="1592"/>
      <c r="E186" s="1589">
        <f>SUM(E180:E185)</f>
        <v>100</v>
      </c>
      <c r="F186" s="1589">
        <f t="shared" ref="F186" si="66">SUM(F180:F185)</f>
        <v>60</v>
      </c>
      <c r="G186" s="1589">
        <f t="shared" ref="G186" si="67">SUM(G180:G185)</f>
        <v>30</v>
      </c>
      <c r="H186" s="1589">
        <f t="shared" ref="H186" si="68">SUM(H180:H185)</f>
        <v>20</v>
      </c>
      <c r="I186" s="1589">
        <f t="shared" ref="I186" si="69">SUM(I180:I185)</f>
        <v>1</v>
      </c>
      <c r="J186" s="1589">
        <f t="shared" si="59"/>
        <v>211</v>
      </c>
      <c r="O186" s="595"/>
      <c r="P186" s="596"/>
      <c r="Q186" s="597"/>
      <c r="R186" s="597"/>
      <c r="S186" s="597"/>
      <c r="T186" s="598"/>
      <c r="U186" s="598"/>
      <c r="V186" s="598"/>
      <c r="W186" s="598"/>
      <c r="X186" s="584"/>
      <c r="Y186" s="584"/>
      <c r="Z186" s="599"/>
      <c r="AA186" s="600"/>
      <c r="AB186" s="600"/>
    </row>
    <row r="187" spans="1:28" ht="15.75" hidden="1" outlineLevel="2">
      <c r="A187" s="584"/>
      <c r="O187" s="595"/>
      <c r="P187" s="596"/>
      <c r="Q187" s="597"/>
      <c r="R187" s="597"/>
      <c r="S187" s="597"/>
      <c r="T187" s="598"/>
      <c r="U187" s="598"/>
      <c r="V187" s="598"/>
      <c r="W187" s="598"/>
      <c r="X187" s="584"/>
      <c r="Y187" s="584"/>
      <c r="Z187" s="599"/>
      <c r="AA187" s="600"/>
      <c r="AB187" s="600"/>
    </row>
    <row r="188" spans="1:28" ht="15.75" hidden="1" outlineLevel="2">
      <c r="A188" s="584"/>
      <c r="B188" s="1592" t="s">
        <v>1183</v>
      </c>
      <c r="C188" s="1592"/>
      <c r="D188" s="1592"/>
      <c r="E188" s="1589">
        <f>+E176+E186</f>
        <v>100</v>
      </c>
      <c r="F188" s="1589">
        <f t="shared" ref="F188:I188" si="70">+F176+F186</f>
        <v>125</v>
      </c>
      <c r="G188" s="1589">
        <f t="shared" si="70"/>
        <v>50</v>
      </c>
      <c r="H188" s="1589">
        <f t="shared" si="70"/>
        <v>50</v>
      </c>
      <c r="I188" s="1589">
        <f t="shared" si="70"/>
        <v>2</v>
      </c>
      <c r="J188" s="1589">
        <f>SUM(E188:I188)</f>
        <v>327</v>
      </c>
      <c r="O188" s="595"/>
      <c r="P188" s="596"/>
      <c r="Q188" s="597"/>
      <c r="R188" s="597"/>
      <c r="S188" s="597"/>
      <c r="T188" s="598"/>
      <c r="U188" s="598"/>
      <c r="V188" s="598"/>
      <c r="W188" s="598"/>
      <c r="X188" s="584"/>
      <c r="Y188" s="584"/>
      <c r="Z188" s="599"/>
      <c r="AA188" s="600"/>
      <c r="AB188" s="600"/>
    </row>
    <row r="189" spans="1:28" ht="15.75" hidden="1" outlineLevel="1" collapsed="1">
      <c r="A189" s="584"/>
      <c r="O189" s="595"/>
      <c r="P189" s="596"/>
      <c r="Q189" s="597"/>
      <c r="R189" s="597"/>
      <c r="S189" s="597"/>
      <c r="T189" s="598"/>
      <c r="U189" s="598"/>
      <c r="V189" s="598"/>
      <c r="W189" s="598"/>
      <c r="X189" s="584"/>
      <c r="Y189" s="584"/>
      <c r="Z189" s="599"/>
      <c r="AA189" s="600"/>
      <c r="AB189" s="600"/>
    </row>
    <row r="190" spans="1:28" ht="15.75" hidden="1" outlineLevel="1">
      <c r="A190" s="584"/>
      <c r="B190" s="1615" t="s">
        <v>346</v>
      </c>
      <c r="C190" s="1615"/>
      <c r="D190" s="1615"/>
      <c r="E190" s="1616"/>
      <c r="F190" s="1616"/>
      <c r="G190" s="1616"/>
      <c r="H190" s="1616"/>
      <c r="I190" s="1616"/>
      <c r="J190" s="1616"/>
      <c r="O190" s="595"/>
      <c r="P190" s="596"/>
      <c r="Q190" s="597"/>
      <c r="R190" s="597"/>
      <c r="S190" s="597"/>
      <c r="T190" s="598"/>
      <c r="U190" s="598"/>
      <c r="V190" s="598"/>
      <c r="W190" s="598"/>
      <c r="X190" s="584"/>
      <c r="Y190" s="584"/>
      <c r="Z190" s="599"/>
      <c r="AA190" s="600"/>
      <c r="AB190" s="600"/>
    </row>
    <row r="191" spans="1:28" ht="15.75" hidden="1" outlineLevel="1">
      <c r="A191" s="584"/>
      <c r="B191" s="1605" t="s">
        <v>1171</v>
      </c>
      <c r="C191" s="1605"/>
      <c r="D191" s="1605"/>
      <c r="E191" s="1606"/>
      <c r="F191" s="1522"/>
      <c r="G191" s="1605"/>
      <c r="H191" s="1606"/>
      <c r="I191" s="1606"/>
      <c r="J191" s="1607"/>
      <c r="O191" s="595"/>
      <c r="P191" s="596"/>
      <c r="Q191" s="597"/>
      <c r="R191" s="597"/>
      <c r="S191" s="597"/>
      <c r="T191" s="598"/>
      <c r="U191" s="598"/>
      <c r="V191" s="598"/>
      <c r="W191" s="598"/>
      <c r="X191" s="584"/>
      <c r="Y191" s="584"/>
      <c r="Z191" s="599"/>
      <c r="AA191" s="600"/>
      <c r="AB191" s="600"/>
    </row>
    <row r="192" spans="1:28" ht="15.75" hidden="1" outlineLevel="1">
      <c r="A192" s="584"/>
      <c r="B192" s="1509"/>
      <c r="C192" s="1509"/>
      <c r="D192" s="1509"/>
      <c r="E192" s="1509" t="s">
        <v>1179</v>
      </c>
      <c r="F192" s="1504"/>
      <c r="G192" s="1509"/>
      <c r="H192" s="636"/>
      <c r="I192" s="636"/>
      <c r="J192" s="1599"/>
      <c r="O192" s="595"/>
      <c r="P192" s="596"/>
      <c r="Q192" s="597"/>
      <c r="R192" s="597"/>
      <c r="S192" s="597"/>
      <c r="T192" s="598"/>
      <c r="U192" s="598"/>
      <c r="V192" s="598"/>
      <c r="W192" s="598"/>
      <c r="X192" s="584"/>
      <c r="Y192" s="584"/>
      <c r="Z192" s="599"/>
      <c r="AA192" s="600"/>
      <c r="AB192" s="600"/>
    </row>
    <row r="193" spans="1:28" ht="15.75" hidden="1" outlineLevel="1">
      <c r="A193" s="584"/>
      <c r="B193" s="1570"/>
      <c r="C193" s="1570"/>
      <c r="D193" s="1570"/>
      <c r="E193" s="1570" t="s">
        <v>504</v>
      </c>
      <c r="F193" s="1570" t="s">
        <v>1162</v>
      </c>
      <c r="G193" s="1570" t="s">
        <v>1163</v>
      </c>
      <c r="H193" s="1570" t="s">
        <v>1152</v>
      </c>
      <c r="I193" s="1570" t="s">
        <v>1164</v>
      </c>
      <c r="J193" s="1570" t="s">
        <v>123</v>
      </c>
      <c r="O193" s="595"/>
      <c r="P193" s="596"/>
      <c r="Q193" s="597"/>
      <c r="R193" s="597"/>
      <c r="S193" s="597"/>
      <c r="T193" s="598"/>
      <c r="U193" s="598"/>
      <c r="V193" s="598"/>
      <c r="W193" s="598"/>
      <c r="X193" s="584"/>
      <c r="Y193" s="584"/>
      <c r="Z193" s="599"/>
      <c r="AA193" s="600"/>
      <c r="AB193" s="600"/>
    </row>
    <row r="194" spans="1:28" ht="15.75" hidden="1" outlineLevel="1">
      <c r="A194" s="584">
        <v>1</v>
      </c>
      <c r="B194" t="str">
        <f>+B$30</f>
        <v xml:space="preserve">Carson City </v>
      </c>
      <c r="C194" s="766"/>
      <c r="D194" s="766">
        <f t="shared" ref="D194:D199" si="71">D30</f>
        <v>7442.2914000000001</v>
      </c>
      <c r="E194" s="1623">
        <f>+E207+E217</f>
        <v>74422.914000000004</v>
      </c>
      <c r="F194" s="1623">
        <f t="shared" ref="F194:I194" si="72">+F207+F217</f>
        <v>39592.990248000002</v>
      </c>
      <c r="G194" s="1623">
        <f t="shared" si="72"/>
        <v>40783.756872000005</v>
      </c>
      <c r="H194" s="1623">
        <f t="shared" si="72"/>
        <v>37881.263226000003</v>
      </c>
      <c r="I194" s="1623">
        <f t="shared" si="72"/>
        <v>8335.3663680000009</v>
      </c>
      <c r="J194" s="1621">
        <f t="shared" ref="J194:J201" si="73">SUM(E194:I194)</f>
        <v>201016.290714</v>
      </c>
      <c r="O194" s="595"/>
      <c r="P194" s="596"/>
      <c r="Q194" s="597"/>
      <c r="R194" s="597"/>
      <c r="S194" s="597"/>
      <c r="T194" s="598"/>
      <c r="U194" s="598"/>
      <c r="V194" s="598"/>
      <c r="W194" s="598"/>
      <c r="X194" s="584"/>
      <c r="Y194" s="584"/>
      <c r="Z194" s="599"/>
      <c r="AA194" s="600"/>
      <c r="AB194" s="600"/>
    </row>
    <row r="195" spans="1:28" ht="15.75" hidden="1" outlineLevel="1">
      <c r="A195" s="584">
        <f>1+A194</f>
        <v>2</v>
      </c>
      <c r="B195" t="str">
        <f>+$B$31</f>
        <v xml:space="preserve">Churchill </v>
      </c>
      <c r="C195" s="725"/>
      <c r="D195" s="725">
        <f t="shared" si="71"/>
        <v>8037.1583000000001</v>
      </c>
      <c r="E195" s="1580">
        <f t="shared" ref="E195:I195" si="74">+E208+E218</f>
        <v>80371.582999999999</v>
      </c>
      <c r="F195" s="1580">
        <f t="shared" si="74"/>
        <v>42757.682156000003</v>
      </c>
      <c r="G195" s="1580">
        <f t="shared" si="74"/>
        <v>44043.627483999997</v>
      </c>
      <c r="H195" s="1580">
        <f t="shared" si="74"/>
        <v>40909.135747</v>
      </c>
      <c r="I195" s="1580">
        <f t="shared" si="74"/>
        <v>9001.6172960000004</v>
      </c>
      <c r="J195" s="1580">
        <f t="shared" si="73"/>
        <v>217083.64568300001</v>
      </c>
      <c r="O195" s="595"/>
      <c r="P195" s="596"/>
      <c r="Q195" s="597"/>
      <c r="R195" s="597"/>
      <c r="S195" s="597"/>
      <c r="T195" s="598"/>
      <c r="U195" s="598"/>
      <c r="V195" s="598"/>
      <c r="W195" s="598"/>
      <c r="X195" s="584"/>
      <c r="Y195" s="584"/>
      <c r="Z195" s="599"/>
      <c r="AA195" s="600"/>
      <c r="AB195" s="600"/>
    </row>
    <row r="196" spans="1:28" ht="15.75" hidden="1" outlineLevel="1">
      <c r="A196" s="584">
        <f t="shared" ref="A196:A199" si="75">1+A195</f>
        <v>3</v>
      </c>
      <c r="B196" t="str">
        <f>+$B$32</f>
        <v xml:space="preserve">Clark </v>
      </c>
      <c r="C196" s="725"/>
      <c r="D196" s="725">
        <f t="shared" si="71"/>
        <v>7147.3406999999997</v>
      </c>
      <c r="E196" s="1580">
        <f t="shared" ref="E196:I196" si="76">+E209+E219</f>
        <v>71473.406999999992</v>
      </c>
      <c r="F196" s="1580">
        <f t="shared" si="76"/>
        <v>38023.852524000002</v>
      </c>
      <c r="G196" s="1580">
        <f t="shared" si="76"/>
        <v>39167.427035999994</v>
      </c>
      <c r="H196" s="1580">
        <f t="shared" si="76"/>
        <v>36379.964162999997</v>
      </c>
      <c r="I196" s="1580">
        <f t="shared" si="76"/>
        <v>8005.0215840000001</v>
      </c>
      <c r="J196" s="1580">
        <f t="shared" si="73"/>
        <v>193049.672307</v>
      </c>
      <c r="O196" s="595"/>
      <c r="P196" s="596"/>
      <c r="Q196" s="597"/>
      <c r="R196" s="597"/>
      <c r="S196" s="597"/>
      <c r="T196" s="598"/>
      <c r="U196" s="598"/>
      <c r="V196" s="598"/>
      <c r="W196" s="598"/>
      <c r="X196" s="584"/>
      <c r="Y196" s="584"/>
      <c r="Z196" s="599"/>
      <c r="AA196" s="600"/>
      <c r="AB196" s="600"/>
    </row>
    <row r="197" spans="1:28" ht="15.75" hidden="1" outlineLevel="1">
      <c r="A197" s="584">
        <f t="shared" si="75"/>
        <v>4</v>
      </c>
      <c r="B197" t="str">
        <f>+$B$33</f>
        <v xml:space="preserve">Elko </v>
      </c>
      <c r="C197" s="725"/>
      <c r="D197" s="725">
        <f t="shared" si="71"/>
        <v>7661.7664999999997</v>
      </c>
      <c r="E197" s="1580">
        <f>+E210+E220</f>
        <v>76617.664999999994</v>
      </c>
      <c r="F197" s="1580">
        <f t="shared" ref="F197:I197" si="77">+F210+F220</f>
        <v>40760.597779999996</v>
      </c>
      <c r="G197" s="1580">
        <f t="shared" si="77"/>
        <v>41986.48042</v>
      </c>
      <c r="H197" s="1580">
        <f t="shared" si="77"/>
        <v>38998.391485</v>
      </c>
      <c r="I197" s="1580">
        <f t="shared" si="77"/>
        <v>8581.1784800000005</v>
      </c>
      <c r="J197" s="1580">
        <f t="shared" si="73"/>
        <v>206944.313165</v>
      </c>
      <c r="O197" s="595"/>
      <c r="P197" s="596"/>
      <c r="Q197" s="597"/>
      <c r="R197" s="597"/>
      <c r="S197" s="597"/>
      <c r="T197" s="598"/>
      <c r="U197" s="598"/>
      <c r="V197" s="598"/>
      <c r="W197" s="598"/>
      <c r="X197" s="584"/>
      <c r="Y197" s="584"/>
      <c r="Z197" s="599"/>
      <c r="AA197" s="600"/>
      <c r="AB197" s="600"/>
    </row>
    <row r="198" spans="1:28" ht="15.75" hidden="1" outlineLevel="1">
      <c r="A198" s="584">
        <f t="shared" si="75"/>
        <v>5</v>
      </c>
      <c r="B198" t="str">
        <f>+$B$34</f>
        <v xml:space="preserve">Washoe </v>
      </c>
      <c r="C198" s="725"/>
      <c r="D198" s="725">
        <f t="shared" si="71"/>
        <v>6931.8379999999997</v>
      </c>
      <c r="E198" s="1591">
        <f t="shared" ref="E198:I198" si="78">+E211+E221</f>
        <v>69318.38</v>
      </c>
      <c r="F198" s="1591">
        <f t="shared" si="78"/>
        <v>36877.37816</v>
      </c>
      <c r="G198" s="1591">
        <f t="shared" si="78"/>
        <v>37986.472240000003</v>
      </c>
      <c r="H198" s="1591">
        <f t="shared" si="78"/>
        <v>35283.055420000004</v>
      </c>
      <c r="I198" s="1591">
        <f t="shared" si="78"/>
        <v>7763.6585599999999</v>
      </c>
      <c r="J198" s="1580">
        <f t="shared" si="73"/>
        <v>187228.94438</v>
      </c>
      <c r="O198" s="595"/>
      <c r="P198" s="596"/>
      <c r="Q198" s="597"/>
      <c r="R198" s="597"/>
      <c r="S198" s="597"/>
      <c r="T198" s="598"/>
      <c r="U198" s="598"/>
      <c r="V198" s="598"/>
      <c r="W198" s="598"/>
      <c r="X198" s="584"/>
      <c r="Y198" s="584"/>
      <c r="Z198" s="599"/>
      <c r="AA198" s="600"/>
      <c r="AB198" s="600"/>
    </row>
    <row r="199" spans="1:28" ht="15.75" hidden="1" outlineLevel="1">
      <c r="A199" s="584">
        <f t="shared" si="75"/>
        <v>6</v>
      </c>
      <c r="B199" t="str">
        <f>+$B$35</f>
        <v xml:space="preserve">White Pine </v>
      </c>
      <c r="C199" s="725"/>
      <c r="D199" s="725">
        <f t="shared" si="71"/>
        <v>10295.467699999999</v>
      </c>
      <c r="E199" s="1591">
        <f t="shared" ref="E199:I199" si="79">+E212+E222</f>
        <v>102954.677</v>
      </c>
      <c r="F199" s="1591">
        <f t="shared" si="79"/>
        <v>54771.888163999996</v>
      </c>
      <c r="G199" s="1591">
        <f t="shared" si="79"/>
        <v>56419.162995999999</v>
      </c>
      <c r="H199" s="1591">
        <f t="shared" si="79"/>
        <v>52403.930592999997</v>
      </c>
      <c r="I199" s="1591">
        <f t="shared" si="79"/>
        <v>11530.923824</v>
      </c>
      <c r="J199" s="1591">
        <f t="shared" si="73"/>
        <v>278080.58257699996</v>
      </c>
      <c r="O199" s="595"/>
      <c r="P199" s="596"/>
      <c r="Q199" s="597"/>
      <c r="R199" s="597"/>
      <c r="S199" s="597"/>
      <c r="T199" s="598"/>
      <c r="U199" s="598"/>
      <c r="V199" s="598"/>
      <c r="W199" s="598"/>
      <c r="X199" s="584"/>
      <c r="Y199" s="584"/>
      <c r="Z199" s="599"/>
      <c r="AA199" s="600"/>
      <c r="AB199" s="600"/>
    </row>
    <row r="200" spans="1:28" ht="15.75" hidden="1" outlineLevel="1">
      <c r="A200" s="584"/>
      <c r="B200" s="1592" t="s">
        <v>421</v>
      </c>
      <c r="C200" s="1592"/>
      <c r="D200" s="1592"/>
      <c r="E200" s="1622">
        <f>SUM(E194:E199)</f>
        <v>475158.62599999993</v>
      </c>
      <c r="F200" s="1622">
        <f>SUM(F194:F199)</f>
        <v>252784.38903200001</v>
      </c>
      <c r="G200" s="1622">
        <f t="shared" ref="G200" si="80">SUM(G194:G199)</f>
        <v>260386.92704799998</v>
      </c>
      <c r="H200" s="1622">
        <f t="shared" ref="H200" si="81">SUM(H194:H199)</f>
        <v>241855.74063400002</v>
      </c>
      <c r="I200" s="1622">
        <f t="shared" ref="I200" si="82">SUM(I194:I199)</f>
        <v>53217.766111999998</v>
      </c>
      <c r="J200" s="1624">
        <f t="shared" si="73"/>
        <v>1283403.4488259999</v>
      </c>
      <c r="O200" s="595"/>
      <c r="P200" s="596"/>
      <c r="Q200" s="597"/>
      <c r="R200" s="597"/>
      <c r="S200" s="597"/>
      <c r="T200" s="598"/>
      <c r="U200" s="598"/>
      <c r="V200" s="598"/>
      <c r="W200" s="598"/>
      <c r="X200" s="584"/>
      <c r="Y200" s="584"/>
      <c r="Z200" s="599"/>
      <c r="AA200" s="600"/>
      <c r="AB200" s="600"/>
    </row>
    <row r="201" spans="1:28" ht="15.75" hidden="1" outlineLevel="1">
      <c r="A201" s="584"/>
      <c r="B201" s="1" t="s">
        <v>420</v>
      </c>
      <c r="E201" s="1585">
        <f>+E130</f>
        <v>60</v>
      </c>
      <c r="F201" s="1585">
        <f t="shared" ref="F201:I201" si="83">+F130</f>
        <v>24</v>
      </c>
      <c r="G201" s="1585">
        <f t="shared" si="83"/>
        <v>30</v>
      </c>
      <c r="H201" s="1585">
        <f t="shared" si="83"/>
        <v>30</v>
      </c>
      <c r="I201" s="1585">
        <f t="shared" si="83"/>
        <v>6</v>
      </c>
      <c r="J201" s="1585">
        <f t="shared" si="73"/>
        <v>150</v>
      </c>
      <c r="O201" s="595"/>
      <c r="P201" s="596"/>
      <c r="Q201" s="597"/>
      <c r="R201" s="597"/>
      <c r="S201" s="597"/>
      <c r="T201" s="598"/>
      <c r="U201" s="598"/>
      <c r="V201" s="598"/>
      <c r="W201" s="598"/>
      <c r="X201" s="584"/>
      <c r="Y201" s="584"/>
      <c r="Z201" s="599"/>
      <c r="AA201" s="600"/>
      <c r="AB201" s="600"/>
    </row>
    <row r="202" spans="1:28" ht="15.75" hidden="1" outlineLevel="1">
      <c r="A202" s="584"/>
      <c r="B202" s="1592" t="s">
        <v>1186</v>
      </c>
      <c r="C202" s="1604"/>
      <c r="D202" s="1604"/>
      <c r="E202" s="1626">
        <f t="shared" ref="E202:I202" si="84">+E200/E201</f>
        <v>7919.3104333333322</v>
      </c>
      <c r="F202" s="1626">
        <f t="shared" si="84"/>
        <v>10532.682876333334</v>
      </c>
      <c r="G202" s="1626">
        <f t="shared" si="84"/>
        <v>8679.564234933332</v>
      </c>
      <c r="H202" s="1626">
        <f t="shared" si="84"/>
        <v>8061.8580211333338</v>
      </c>
      <c r="I202" s="1626">
        <f t="shared" si="84"/>
        <v>8869.6276853333329</v>
      </c>
      <c r="J202" s="1626">
        <f>+J200/J201</f>
        <v>8556.0229921733317</v>
      </c>
      <c r="O202" s="595"/>
      <c r="P202" s="596"/>
      <c r="Q202" s="597"/>
      <c r="R202" s="597"/>
      <c r="S202" s="597"/>
      <c r="T202" s="598"/>
      <c r="U202" s="598"/>
      <c r="V202" s="598"/>
      <c r="W202" s="598"/>
      <c r="X202" s="584"/>
      <c r="Y202" s="584"/>
      <c r="Z202" s="599"/>
      <c r="AA202" s="600"/>
      <c r="AB202" s="600"/>
    </row>
    <row r="203" spans="1:28" ht="15.75" hidden="1" outlineLevel="1">
      <c r="A203" s="584"/>
      <c r="B203" s="1"/>
      <c r="J203" s="1585"/>
      <c r="O203" s="595"/>
      <c r="P203" s="596"/>
      <c r="Q203" s="597"/>
      <c r="R203" s="597"/>
      <c r="S203" s="597"/>
      <c r="T203" s="598"/>
      <c r="U203" s="598"/>
      <c r="V203" s="598"/>
      <c r="W203" s="598"/>
      <c r="X203" s="584"/>
      <c r="Y203" s="584"/>
      <c r="Z203" s="599"/>
      <c r="AA203" s="600"/>
      <c r="AB203" s="600"/>
    </row>
    <row r="204" spans="1:28" ht="15.75" hidden="1" outlineLevel="1">
      <c r="A204" s="584"/>
      <c r="E204" s="1509" t="s">
        <v>1187</v>
      </c>
      <c r="F204" s="1504"/>
      <c r="G204" s="1509"/>
      <c r="H204" s="1509"/>
      <c r="I204" s="1509"/>
      <c r="J204" s="636"/>
      <c r="O204" s="595"/>
      <c r="P204" s="596"/>
      <c r="Q204" s="597"/>
      <c r="R204" s="597"/>
      <c r="S204" s="597"/>
      <c r="T204" s="598"/>
      <c r="U204" s="598"/>
      <c r="V204" s="598"/>
      <c r="W204" s="598"/>
      <c r="X204" s="584"/>
      <c r="Y204" s="584"/>
      <c r="Z204" s="599"/>
      <c r="AA204" s="600"/>
      <c r="AB204" s="600"/>
    </row>
    <row r="205" spans="1:28" ht="15.75" hidden="1" outlineLevel="1">
      <c r="A205" s="584"/>
      <c r="E205" s="1570" t="s">
        <v>504</v>
      </c>
      <c r="F205" s="1570" t="s">
        <v>1162</v>
      </c>
      <c r="G205" s="1570" t="s">
        <v>1163</v>
      </c>
      <c r="H205" s="1570" t="s">
        <v>1152</v>
      </c>
      <c r="I205" s="1570" t="s">
        <v>1164</v>
      </c>
      <c r="J205" s="1581"/>
      <c r="O205" s="595"/>
      <c r="P205" s="596"/>
      <c r="Q205" s="597"/>
      <c r="R205" s="597"/>
      <c r="S205" s="597"/>
      <c r="T205" s="598"/>
      <c r="U205" s="598"/>
      <c r="V205" s="598"/>
      <c r="W205" s="598"/>
      <c r="X205" s="584"/>
      <c r="Y205" s="584"/>
      <c r="Z205" s="599"/>
      <c r="AA205" s="600"/>
      <c r="AB205" s="600"/>
    </row>
    <row r="206" spans="1:28" ht="15.75" hidden="1" outlineLevel="1">
      <c r="A206" s="584"/>
      <c r="B206" s="1570" t="s">
        <v>1181</v>
      </c>
      <c r="C206" s="1570"/>
      <c r="D206" s="1570"/>
      <c r="E206" s="1632">
        <v>0</v>
      </c>
      <c r="F206" s="1631">
        <f>+F134</f>
        <v>0.33</v>
      </c>
      <c r="G206" s="1631">
        <f t="shared" ref="G206:I206" si="85">+G134</f>
        <v>0.24</v>
      </c>
      <c r="H206" s="1631">
        <f t="shared" si="85"/>
        <v>0.03</v>
      </c>
      <c r="I206" s="1631">
        <f t="shared" si="85"/>
        <v>0.12</v>
      </c>
      <c r="J206" s="1570" t="s">
        <v>123</v>
      </c>
      <c r="O206" s="595"/>
      <c r="P206" s="596"/>
      <c r="Q206" s="597"/>
      <c r="R206" s="597"/>
      <c r="S206" s="597"/>
      <c r="T206" s="598"/>
      <c r="U206" s="598"/>
      <c r="V206" s="598"/>
      <c r="W206" s="598"/>
      <c r="X206" s="584"/>
      <c r="Y206" s="584"/>
      <c r="Z206" s="599"/>
      <c r="AA206" s="600"/>
      <c r="AB206" s="600"/>
    </row>
    <row r="207" spans="1:28" ht="15.75" hidden="1" outlineLevel="1">
      <c r="A207" s="584">
        <v>1</v>
      </c>
      <c r="B207" t="str">
        <f>+B$30</f>
        <v xml:space="preserve">Carson City </v>
      </c>
      <c r="C207" s="766"/>
      <c r="D207" s="766">
        <f t="shared" ref="D207:D212" si="86">D30</f>
        <v>7442.2914000000001</v>
      </c>
      <c r="E207" s="1583"/>
      <c r="F207" s="1642">
        <f t="shared" ref="F207:I212" si="87">F$206*F135*$D207</f>
        <v>9823.8246479999998</v>
      </c>
      <c r="G207" s="1642">
        <f t="shared" si="87"/>
        <v>3572.2998720000001</v>
      </c>
      <c r="H207" s="1642">
        <f t="shared" si="87"/>
        <v>669.80622600000004</v>
      </c>
      <c r="I207" s="1642">
        <f t="shared" si="87"/>
        <v>893.07496800000001</v>
      </c>
      <c r="J207" s="1621">
        <f t="shared" ref="J207:J213" si="88">SUM(E207:I207)</f>
        <v>14959.005714000001</v>
      </c>
      <c r="O207" s="595"/>
      <c r="P207" s="596"/>
      <c r="Q207" s="597"/>
      <c r="R207" s="597"/>
      <c r="S207" s="597"/>
      <c r="T207" s="598"/>
      <c r="U207" s="598"/>
      <c r="V207" s="598"/>
      <c r="W207" s="598"/>
      <c r="X207" s="584"/>
      <c r="Y207" s="584"/>
      <c r="Z207" s="599"/>
      <c r="AA207" s="600"/>
      <c r="AB207" s="600"/>
    </row>
    <row r="208" spans="1:28" ht="15.75" hidden="1" outlineLevel="1">
      <c r="A208" s="584">
        <f>1+A207</f>
        <v>2</v>
      </c>
      <c r="B208" t="str">
        <f>+$B$31</f>
        <v xml:space="preserve">Churchill </v>
      </c>
      <c r="C208" s="725"/>
      <c r="D208" s="725">
        <f t="shared" si="86"/>
        <v>8037.1583000000001</v>
      </c>
      <c r="E208" s="1583"/>
      <c r="F208" s="1618">
        <f t="shared" si="87"/>
        <v>10609.048956000001</v>
      </c>
      <c r="G208" s="1618">
        <f t="shared" si="87"/>
        <v>3857.8359839999998</v>
      </c>
      <c r="H208" s="1618">
        <f t="shared" si="87"/>
        <v>723.344247</v>
      </c>
      <c r="I208" s="1618">
        <f t="shared" si="87"/>
        <v>964.45899599999996</v>
      </c>
      <c r="J208" s="1580">
        <f t="shared" si="88"/>
        <v>16154.688183</v>
      </c>
      <c r="O208" s="595"/>
      <c r="P208" s="596"/>
      <c r="Q208" s="597"/>
      <c r="R208" s="597"/>
      <c r="S208" s="597"/>
      <c r="T208" s="598"/>
      <c r="U208" s="598"/>
      <c r="V208" s="598"/>
      <c r="W208" s="598"/>
      <c r="X208" s="584"/>
      <c r="Y208" s="584"/>
      <c r="Z208" s="599"/>
      <c r="AA208" s="600"/>
      <c r="AB208" s="600"/>
    </row>
    <row r="209" spans="1:28" ht="15.75" hidden="1" outlineLevel="1">
      <c r="A209" s="584">
        <f t="shared" ref="A209:A212" si="89">1+A208</f>
        <v>3</v>
      </c>
      <c r="B209" t="str">
        <f>+$B$32</f>
        <v xml:space="preserve">Clark </v>
      </c>
      <c r="C209" s="725"/>
      <c r="D209" s="725">
        <f t="shared" si="86"/>
        <v>7147.3406999999997</v>
      </c>
      <c r="E209" s="1583"/>
      <c r="F209" s="1618">
        <f t="shared" si="87"/>
        <v>9434.4897240000009</v>
      </c>
      <c r="G209" s="1618">
        <f t="shared" si="87"/>
        <v>3430.723536</v>
      </c>
      <c r="H209" s="1618">
        <f t="shared" si="87"/>
        <v>643.26066299999991</v>
      </c>
      <c r="I209" s="1618">
        <f t="shared" si="87"/>
        <v>857.68088399999999</v>
      </c>
      <c r="J209" s="1580">
        <f t="shared" si="88"/>
        <v>14366.154806999999</v>
      </c>
      <c r="O209" s="595"/>
      <c r="P209" s="596"/>
      <c r="Q209" s="597"/>
      <c r="R209" s="597"/>
      <c r="S209" s="597"/>
      <c r="T209" s="598"/>
      <c r="U209" s="598"/>
      <c r="V209" s="598"/>
      <c r="W209" s="598"/>
      <c r="X209" s="584"/>
      <c r="Y209" s="584"/>
      <c r="Z209" s="599"/>
      <c r="AA209" s="600"/>
      <c r="AB209" s="600"/>
    </row>
    <row r="210" spans="1:28" ht="15.75" hidden="1" outlineLevel="1">
      <c r="A210" s="584">
        <f t="shared" si="89"/>
        <v>4</v>
      </c>
      <c r="B210" t="str">
        <f>+$B$33</f>
        <v xml:space="preserve">Elko </v>
      </c>
      <c r="C210" s="725"/>
      <c r="D210" s="725">
        <f t="shared" si="86"/>
        <v>7661.7664999999997</v>
      </c>
      <c r="E210" s="1583"/>
      <c r="F210" s="1618">
        <f t="shared" si="87"/>
        <v>10113.531779999999</v>
      </c>
      <c r="G210" s="1618">
        <f t="shared" si="87"/>
        <v>3677.6479199999999</v>
      </c>
      <c r="H210" s="1618">
        <f t="shared" si="87"/>
        <v>689.55898499999989</v>
      </c>
      <c r="I210" s="1618">
        <f t="shared" si="87"/>
        <v>919.41197999999997</v>
      </c>
      <c r="J210" s="1580">
        <f t="shared" si="88"/>
        <v>15400.150664999999</v>
      </c>
      <c r="O210" s="595"/>
      <c r="P210" s="596"/>
      <c r="Q210" s="597"/>
      <c r="R210" s="597"/>
      <c r="S210" s="597"/>
      <c r="T210" s="598"/>
      <c r="U210" s="598"/>
      <c r="V210" s="598"/>
      <c r="W210" s="598"/>
      <c r="X210" s="584"/>
      <c r="Y210" s="584"/>
      <c r="Z210" s="599"/>
      <c r="AA210" s="600"/>
      <c r="AB210" s="600"/>
    </row>
    <row r="211" spans="1:28" ht="15.75" hidden="1" outlineLevel="1">
      <c r="A211" s="584">
        <f t="shared" si="89"/>
        <v>5</v>
      </c>
      <c r="B211" t="str">
        <f>+$B$34</f>
        <v xml:space="preserve">Washoe </v>
      </c>
      <c r="C211" s="725"/>
      <c r="D211" s="725">
        <f t="shared" si="86"/>
        <v>6931.8379999999997</v>
      </c>
      <c r="E211" s="1583"/>
      <c r="F211" s="1618">
        <f t="shared" si="87"/>
        <v>9150.0261599999994</v>
      </c>
      <c r="G211" s="1618">
        <f t="shared" si="87"/>
        <v>3327.2822399999995</v>
      </c>
      <c r="H211" s="1618">
        <f t="shared" si="87"/>
        <v>623.86541999999997</v>
      </c>
      <c r="I211" s="1618">
        <f t="shared" si="87"/>
        <v>831.82055999999989</v>
      </c>
      <c r="J211" s="1580">
        <f t="shared" si="88"/>
        <v>13932.994379999998</v>
      </c>
      <c r="O211" s="595"/>
      <c r="P211" s="596"/>
      <c r="Q211" s="597"/>
      <c r="R211" s="597"/>
      <c r="S211" s="597"/>
      <c r="T211" s="598"/>
      <c r="U211" s="598"/>
      <c r="V211" s="598"/>
      <c r="W211" s="598"/>
      <c r="X211" s="584"/>
      <c r="Y211" s="584"/>
      <c r="Z211" s="599"/>
      <c r="AA211" s="600"/>
      <c r="AB211" s="600"/>
    </row>
    <row r="212" spans="1:28" ht="15.75" hidden="1" outlineLevel="1">
      <c r="A212" s="584">
        <f t="shared" si="89"/>
        <v>6</v>
      </c>
      <c r="B212" t="str">
        <f>+$B$35</f>
        <v xml:space="preserve">White Pine </v>
      </c>
      <c r="C212" s="725"/>
      <c r="D212" s="725">
        <f t="shared" si="86"/>
        <v>10295.467699999999</v>
      </c>
      <c r="E212" s="1583"/>
      <c r="F212" s="1619">
        <f t="shared" si="87"/>
        <v>13590.017363999999</v>
      </c>
      <c r="G212" s="1619">
        <f t="shared" si="87"/>
        <v>4941.8244959999993</v>
      </c>
      <c r="H212" s="1619">
        <f t="shared" si="87"/>
        <v>926.59209299999986</v>
      </c>
      <c r="I212" s="1619">
        <f t="shared" si="87"/>
        <v>1235.4561239999998</v>
      </c>
      <c r="J212" s="1591">
        <f t="shared" si="88"/>
        <v>20693.890077</v>
      </c>
      <c r="O212" s="595"/>
      <c r="P212" s="596"/>
      <c r="Q212" s="597"/>
      <c r="R212" s="597"/>
      <c r="S212" s="597"/>
      <c r="T212" s="598"/>
      <c r="U212" s="598"/>
      <c r="V212" s="598"/>
      <c r="W212" s="598"/>
      <c r="X212" s="584"/>
      <c r="Y212" s="584"/>
      <c r="Z212" s="599"/>
      <c r="AA212" s="600"/>
      <c r="AB212" s="600"/>
    </row>
    <row r="213" spans="1:28" ht="15.75" hidden="1" outlineLevel="1">
      <c r="A213" s="584"/>
      <c r="B213" s="1592" t="s">
        <v>123</v>
      </c>
      <c r="C213" s="1592"/>
      <c r="D213" s="1592"/>
      <c r="E213" s="1627"/>
      <c r="F213" s="1626">
        <f t="shared" ref="F213" si="90">SUM(F207:F212)</f>
        <v>62720.938631999998</v>
      </c>
      <c r="G213" s="1626">
        <f t="shared" ref="G213" si="91">SUM(G207:G212)</f>
        <v>22807.614047999996</v>
      </c>
      <c r="H213" s="1626">
        <f t="shared" ref="H213" si="92">SUM(H207:H212)</f>
        <v>4276.4276340000006</v>
      </c>
      <c r="I213" s="1626">
        <f t="shared" ref="I213" si="93">SUM(I207:I212)</f>
        <v>5701.903511999999</v>
      </c>
      <c r="J213" s="1622">
        <f t="shared" si="88"/>
        <v>95506.883826000005</v>
      </c>
      <c r="O213" s="595"/>
      <c r="P213" s="596"/>
      <c r="Q213" s="597"/>
      <c r="R213" s="597"/>
      <c r="S213" s="597"/>
      <c r="T213" s="598"/>
      <c r="U213" s="598"/>
      <c r="V213" s="598"/>
      <c r="W213" s="598"/>
      <c r="X213" s="584"/>
      <c r="Y213" s="584"/>
      <c r="Z213" s="599"/>
      <c r="AA213" s="600"/>
      <c r="AB213" s="600"/>
    </row>
    <row r="214" spans="1:28" ht="15.75" hidden="1" outlineLevel="1">
      <c r="A214" s="584"/>
      <c r="O214" s="595"/>
      <c r="P214" s="596"/>
      <c r="Q214" s="597"/>
      <c r="R214" s="597"/>
      <c r="S214" s="597"/>
      <c r="T214" s="598"/>
      <c r="U214" s="598"/>
      <c r="V214" s="598"/>
      <c r="W214" s="598"/>
      <c r="X214" s="584"/>
      <c r="Y214" s="584"/>
      <c r="Z214" s="599"/>
      <c r="AA214" s="600"/>
      <c r="AB214" s="600"/>
    </row>
    <row r="215" spans="1:28" ht="15.75" hidden="1" outlineLevel="1">
      <c r="A215" s="584"/>
      <c r="E215" s="1509" t="s">
        <v>1188</v>
      </c>
      <c r="F215" s="1"/>
      <c r="G215" s="636"/>
      <c r="H215" s="636"/>
      <c r="I215" s="636"/>
      <c r="O215" s="595"/>
      <c r="P215" s="596"/>
      <c r="Q215" s="597"/>
      <c r="R215" s="597"/>
      <c r="S215" s="597"/>
      <c r="T215" s="598"/>
      <c r="U215" s="598"/>
      <c r="V215" s="598"/>
      <c r="W215" s="598"/>
      <c r="X215" s="584"/>
      <c r="Y215" s="584"/>
      <c r="Z215" s="599"/>
      <c r="AA215" s="600"/>
      <c r="AB215" s="600"/>
    </row>
    <row r="216" spans="1:28" ht="15.75" hidden="1" outlineLevel="1">
      <c r="A216" s="584"/>
      <c r="E216" s="1570" t="s">
        <v>504</v>
      </c>
      <c r="F216" s="1593" t="s">
        <v>1162</v>
      </c>
      <c r="G216" s="1570" t="s">
        <v>1163</v>
      </c>
      <c r="H216" s="1570" t="s">
        <v>1152</v>
      </c>
      <c r="I216" s="1570" t="s">
        <v>1164</v>
      </c>
      <c r="J216" s="1593" t="s">
        <v>123</v>
      </c>
      <c r="O216" s="595"/>
      <c r="P216" s="596"/>
      <c r="Q216" s="597"/>
      <c r="R216" s="597"/>
      <c r="S216" s="597"/>
      <c r="T216" s="598"/>
      <c r="U216" s="598"/>
      <c r="V216" s="598"/>
      <c r="W216" s="598"/>
      <c r="X216" s="584"/>
      <c r="Y216" s="584"/>
      <c r="Z216" s="599"/>
      <c r="AA216" s="600"/>
      <c r="AB216" s="600"/>
    </row>
    <row r="217" spans="1:28" ht="15.75" hidden="1" outlineLevel="1">
      <c r="A217" s="584">
        <v>1</v>
      </c>
      <c r="B217" t="str">
        <f>+B$30</f>
        <v xml:space="preserve">Carson City </v>
      </c>
      <c r="C217" s="766"/>
      <c r="D217" s="766">
        <f t="shared" ref="D217:D222" si="94">D30</f>
        <v>7442.2914000000001</v>
      </c>
      <c r="E217" s="1643">
        <f t="shared" ref="E217:E222" si="95">+$D30*E124</f>
        <v>74422.914000000004</v>
      </c>
      <c r="F217" s="1643">
        <f>+$D217*F124</f>
        <v>29769.1656</v>
      </c>
      <c r="G217" s="1643">
        <f t="shared" ref="G217:I222" si="96">+$D30*G124</f>
        <v>37211.457000000002</v>
      </c>
      <c r="H217" s="1643">
        <f t="shared" si="96"/>
        <v>37211.457000000002</v>
      </c>
      <c r="I217" s="1643">
        <f t="shared" si="96"/>
        <v>7442.2914000000001</v>
      </c>
      <c r="J217" s="1625">
        <f t="shared" ref="J217:J223" si="97">SUM(E217:I217)</f>
        <v>186057.28499999997</v>
      </c>
      <c r="O217" s="595"/>
      <c r="P217" s="596"/>
      <c r="Q217" s="597"/>
      <c r="R217" s="597"/>
      <c r="S217" s="597"/>
      <c r="T217" s="598"/>
      <c r="U217" s="598"/>
      <c r="V217" s="598"/>
      <c r="W217" s="598"/>
      <c r="X217" s="584"/>
      <c r="Y217" s="584"/>
      <c r="Z217" s="599"/>
      <c r="AA217" s="600"/>
      <c r="AB217" s="600"/>
    </row>
    <row r="218" spans="1:28" ht="15.75" hidden="1" outlineLevel="1">
      <c r="A218" s="584">
        <f>1+A217</f>
        <v>2</v>
      </c>
      <c r="B218" t="str">
        <f>+$B$31</f>
        <v xml:space="preserve">Churchill </v>
      </c>
      <c r="C218" s="725"/>
      <c r="D218" s="725">
        <f t="shared" si="94"/>
        <v>8037.1583000000001</v>
      </c>
      <c r="E218" s="1595">
        <f t="shared" si="95"/>
        <v>80371.582999999999</v>
      </c>
      <c r="F218" s="1595">
        <f>+$D31*F125</f>
        <v>32148.6332</v>
      </c>
      <c r="G218" s="1595">
        <f t="shared" si="96"/>
        <v>40185.791499999999</v>
      </c>
      <c r="H218" s="1595">
        <f t="shared" si="96"/>
        <v>40185.791499999999</v>
      </c>
      <c r="I218" s="1595">
        <f t="shared" si="96"/>
        <v>8037.1583000000001</v>
      </c>
      <c r="J218" s="1585">
        <f t="shared" si="97"/>
        <v>200928.95749999999</v>
      </c>
      <c r="O218" s="595"/>
      <c r="P218" s="596"/>
      <c r="Q218" s="597"/>
      <c r="R218" s="597"/>
      <c r="S218" s="597"/>
      <c r="T218" s="598"/>
      <c r="U218" s="598"/>
      <c r="V218" s="598"/>
      <c r="W218" s="598"/>
      <c r="X218" s="584"/>
      <c r="Y218" s="584"/>
      <c r="Z218" s="599"/>
      <c r="AA218" s="600"/>
      <c r="AB218" s="600"/>
    </row>
    <row r="219" spans="1:28" ht="15.75" hidden="1" outlineLevel="1">
      <c r="A219" s="584">
        <f t="shared" ref="A219:A222" si="98">1+A218</f>
        <v>3</v>
      </c>
      <c r="B219" t="str">
        <f>+$B$32</f>
        <v xml:space="preserve">Clark </v>
      </c>
      <c r="C219" s="725"/>
      <c r="D219" s="725">
        <f t="shared" si="94"/>
        <v>7147.3406999999997</v>
      </c>
      <c r="E219" s="1595">
        <f t="shared" si="95"/>
        <v>71473.406999999992</v>
      </c>
      <c r="F219" s="1595">
        <f>+$D32*F126</f>
        <v>28589.362799999999</v>
      </c>
      <c r="G219" s="1595">
        <f t="shared" si="96"/>
        <v>35736.703499999996</v>
      </c>
      <c r="H219" s="1595">
        <f t="shared" si="96"/>
        <v>35736.703499999996</v>
      </c>
      <c r="I219" s="1595">
        <f t="shared" si="96"/>
        <v>7147.3406999999997</v>
      </c>
      <c r="J219" s="1585">
        <f t="shared" si="97"/>
        <v>178683.51749999999</v>
      </c>
      <c r="O219" s="595"/>
      <c r="P219" s="596"/>
      <c r="Q219" s="597"/>
      <c r="R219" s="597"/>
      <c r="S219" s="597"/>
      <c r="T219" s="598"/>
      <c r="U219" s="598"/>
      <c r="V219" s="598"/>
      <c r="W219" s="598"/>
      <c r="X219" s="584"/>
      <c r="Y219" s="584"/>
      <c r="Z219" s="599"/>
      <c r="AA219" s="600"/>
      <c r="AB219" s="600"/>
    </row>
    <row r="220" spans="1:28" ht="15.75" hidden="1" outlineLevel="1">
      <c r="A220" s="584">
        <f t="shared" si="98"/>
        <v>4</v>
      </c>
      <c r="B220" t="str">
        <f>+$B$33</f>
        <v xml:space="preserve">Elko </v>
      </c>
      <c r="C220" s="725"/>
      <c r="D220" s="725">
        <f t="shared" si="94"/>
        <v>7661.7664999999997</v>
      </c>
      <c r="E220" s="1595">
        <f t="shared" si="95"/>
        <v>76617.664999999994</v>
      </c>
      <c r="F220" s="1595">
        <f>+$D33*F127</f>
        <v>30647.065999999999</v>
      </c>
      <c r="G220" s="1595">
        <f t="shared" si="96"/>
        <v>38308.832499999997</v>
      </c>
      <c r="H220" s="1595">
        <f t="shared" si="96"/>
        <v>38308.832499999997</v>
      </c>
      <c r="I220" s="1595">
        <f t="shared" si="96"/>
        <v>7661.7664999999997</v>
      </c>
      <c r="J220" s="1585">
        <f t="shared" si="97"/>
        <v>191544.16249999998</v>
      </c>
      <c r="O220" s="595"/>
      <c r="P220" s="596"/>
      <c r="Q220" s="597"/>
      <c r="R220" s="597"/>
      <c r="S220" s="597"/>
      <c r="T220" s="598"/>
      <c r="U220" s="598"/>
      <c r="V220" s="598"/>
      <c r="W220" s="598"/>
      <c r="X220" s="584"/>
      <c r="Y220" s="584"/>
      <c r="Z220" s="599"/>
      <c r="AA220" s="600"/>
      <c r="AB220" s="600"/>
    </row>
    <row r="221" spans="1:28" ht="15.75" hidden="1" outlineLevel="1">
      <c r="A221" s="584">
        <f t="shared" si="98"/>
        <v>5</v>
      </c>
      <c r="B221" t="str">
        <f>+$B$34</f>
        <v xml:space="preserve">Washoe </v>
      </c>
      <c r="C221" s="725"/>
      <c r="D221" s="725">
        <f t="shared" si="94"/>
        <v>6931.8379999999997</v>
      </c>
      <c r="E221" s="1595">
        <f t="shared" si="95"/>
        <v>69318.38</v>
      </c>
      <c r="F221" s="1595">
        <f>+$D34*F128</f>
        <v>27727.351999999999</v>
      </c>
      <c r="G221" s="1595">
        <f t="shared" si="96"/>
        <v>34659.19</v>
      </c>
      <c r="H221" s="1595">
        <f t="shared" si="96"/>
        <v>34659.19</v>
      </c>
      <c r="I221" s="1595">
        <f t="shared" si="96"/>
        <v>6931.8379999999997</v>
      </c>
      <c r="J221" s="1585">
        <f t="shared" si="97"/>
        <v>173295.95</v>
      </c>
      <c r="O221" s="595"/>
      <c r="P221" s="596"/>
      <c r="Q221" s="597"/>
      <c r="R221" s="597"/>
      <c r="S221" s="597"/>
      <c r="T221" s="598"/>
      <c r="U221" s="598"/>
      <c r="V221" s="598"/>
      <c r="W221" s="598"/>
      <c r="X221" s="584"/>
      <c r="Y221" s="584"/>
      <c r="Z221" s="599"/>
      <c r="AA221" s="600"/>
      <c r="AB221" s="600"/>
    </row>
    <row r="222" spans="1:28" ht="15.75" hidden="1" outlineLevel="1">
      <c r="A222" s="584">
        <f t="shared" si="98"/>
        <v>6</v>
      </c>
      <c r="B222" t="str">
        <f>+$B$35</f>
        <v xml:space="preserve">White Pine </v>
      </c>
      <c r="C222" s="725"/>
      <c r="D222" s="725">
        <f t="shared" si="94"/>
        <v>10295.467699999999</v>
      </c>
      <c r="E222" s="1596">
        <f t="shared" si="95"/>
        <v>102954.677</v>
      </c>
      <c r="F222" s="1596">
        <f>+$D35*F129</f>
        <v>41181.870799999997</v>
      </c>
      <c r="G222" s="1596">
        <f t="shared" si="96"/>
        <v>51477.338499999998</v>
      </c>
      <c r="H222" s="1596">
        <f t="shared" si="96"/>
        <v>51477.338499999998</v>
      </c>
      <c r="I222" s="1596">
        <f t="shared" si="96"/>
        <v>10295.467699999999</v>
      </c>
      <c r="J222" s="1585">
        <f t="shared" si="97"/>
        <v>257386.69250000003</v>
      </c>
      <c r="O222" s="595"/>
      <c r="P222" s="596"/>
      <c r="Q222" s="597"/>
      <c r="R222" s="597"/>
      <c r="S222" s="597"/>
      <c r="T222" s="598"/>
      <c r="U222" s="598"/>
      <c r="V222" s="598"/>
      <c r="W222" s="598"/>
      <c r="X222" s="584"/>
      <c r="Y222" s="584"/>
      <c r="Z222" s="599"/>
      <c r="AA222" s="600"/>
      <c r="AB222" s="600"/>
    </row>
    <row r="223" spans="1:28" ht="15.75" hidden="1" outlineLevel="1">
      <c r="A223" s="584"/>
      <c r="B223" s="1592" t="s">
        <v>123</v>
      </c>
      <c r="C223" s="1592"/>
      <c r="D223" s="1592"/>
      <c r="E223" s="1626">
        <f>SUM(E217:E222)</f>
        <v>475158.62599999993</v>
      </c>
      <c r="F223" s="1626">
        <f t="shared" ref="F223" si="99">SUM(F217:F222)</f>
        <v>190063.4504</v>
      </c>
      <c r="G223" s="1626">
        <f t="shared" ref="G223" si="100">SUM(G217:G222)</f>
        <v>237579.31299999997</v>
      </c>
      <c r="H223" s="1626">
        <f t="shared" ref="H223" si="101">SUM(H217:H222)</f>
        <v>237579.31299999997</v>
      </c>
      <c r="I223" s="1626">
        <f t="shared" ref="I223" si="102">SUM(I217:I222)</f>
        <v>47515.8626</v>
      </c>
      <c r="J223" s="1626">
        <f t="shared" si="97"/>
        <v>1187896.5649999999</v>
      </c>
      <c r="O223" s="595"/>
      <c r="P223" s="596"/>
      <c r="Q223" s="597"/>
      <c r="R223" s="597"/>
      <c r="S223" s="597"/>
      <c r="T223" s="598"/>
      <c r="U223" s="598"/>
      <c r="V223" s="598"/>
      <c r="W223" s="598"/>
      <c r="X223" s="584"/>
      <c r="Y223" s="584"/>
      <c r="Z223" s="599"/>
      <c r="AA223" s="600"/>
      <c r="AB223" s="600"/>
    </row>
    <row r="224" spans="1:28" ht="15.75" hidden="1" outlineLevel="1">
      <c r="A224" s="584"/>
      <c r="O224" s="595"/>
      <c r="P224" s="596"/>
      <c r="Q224" s="597"/>
      <c r="R224" s="597"/>
      <c r="S224" s="597"/>
      <c r="T224" s="598"/>
      <c r="U224" s="598"/>
      <c r="V224" s="598"/>
      <c r="W224" s="598"/>
      <c r="X224" s="584"/>
      <c r="Y224" s="584"/>
      <c r="Z224" s="599"/>
      <c r="AA224" s="600"/>
      <c r="AB224" s="600"/>
    </row>
    <row r="225" spans="1:28" ht="15.75" hidden="1" outlineLevel="1">
      <c r="A225" s="584"/>
      <c r="B225" s="1592" t="s">
        <v>1183</v>
      </c>
      <c r="C225" s="1592"/>
      <c r="D225" s="1592"/>
      <c r="E225" s="1626">
        <f>+E213+E223</f>
        <v>475158.62599999993</v>
      </c>
      <c r="F225" s="1626">
        <f t="shared" ref="F225:I225" si="103">+F213+F223</f>
        <v>252784.38903200001</v>
      </c>
      <c r="G225" s="1626">
        <f t="shared" si="103"/>
        <v>260386.92704799995</v>
      </c>
      <c r="H225" s="1626">
        <f t="shared" si="103"/>
        <v>241855.74063399996</v>
      </c>
      <c r="I225" s="1626">
        <f t="shared" si="103"/>
        <v>53217.766111999998</v>
      </c>
      <c r="J225" s="1628">
        <f>SUM(E225:I225)</f>
        <v>1283403.4488259999</v>
      </c>
      <c r="O225" s="595"/>
      <c r="P225" s="596"/>
      <c r="Q225" s="597"/>
      <c r="R225" s="597"/>
      <c r="S225" s="597"/>
      <c r="T225" s="598"/>
      <c r="U225" s="598"/>
      <c r="V225" s="598"/>
      <c r="W225" s="598"/>
      <c r="X225" s="584"/>
      <c r="Y225" s="584"/>
      <c r="Z225" s="599"/>
      <c r="AA225" s="600"/>
      <c r="AB225" s="600"/>
    </row>
    <row r="226" spans="1:28" ht="15.75" hidden="1" outlineLevel="1">
      <c r="A226" s="584"/>
      <c r="O226" s="595"/>
      <c r="P226" s="596"/>
      <c r="Q226" s="597"/>
      <c r="R226" s="597"/>
      <c r="S226" s="597"/>
      <c r="T226" s="598"/>
      <c r="U226" s="598"/>
      <c r="V226" s="598"/>
      <c r="W226" s="598"/>
      <c r="X226" s="584"/>
      <c r="Y226" s="584"/>
      <c r="Z226" s="599"/>
      <c r="AA226" s="600"/>
      <c r="AB226" s="600"/>
    </row>
    <row r="227" spans="1:28" ht="15.75" hidden="1" outlineLevel="1">
      <c r="A227" s="584"/>
      <c r="B227" s="1615" t="s">
        <v>346</v>
      </c>
      <c r="C227" s="1615"/>
      <c r="D227" s="1615"/>
      <c r="E227" s="1616"/>
      <c r="F227" s="1616"/>
      <c r="G227" s="1616"/>
      <c r="H227" s="1616"/>
      <c r="I227" s="1616"/>
      <c r="J227" s="1616"/>
      <c r="O227" s="595"/>
      <c r="P227" s="596"/>
      <c r="Q227" s="597"/>
      <c r="R227" s="597"/>
      <c r="S227" s="597"/>
      <c r="T227" s="598"/>
      <c r="U227" s="598"/>
      <c r="V227" s="598"/>
      <c r="W227" s="598"/>
      <c r="X227" s="584"/>
      <c r="Y227" s="584"/>
      <c r="Z227" s="599"/>
      <c r="AA227" s="600"/>
      <c r="AB227" s="600"/>
    </row>
    <row r="228" spans="1:28" ht="15.75" hidden="1" outlineLevel="1">
      <c r="A228" s="584"/>
      <c r="B228" s="1605" t="s">
        <v>1184</v>
      </c>
      <c r="C228" s="1605"/>
      <c r="D228" s="1605"/>
      <c r="E228" s="1605"/>
      <c r="F228" s="1522"/>
      <c r="G228" s="1605"/>
      <c r="H228" s="1606"/>
      <c r="I228" s="1606"/>
      <c r="J228" s="1607"/>
      <c r="O228" s="595"/>
      <c r="P228" s="596"/>
      <c r="Q228" s="597"/>
      <c r="R228" s="597"/>
      <c r="S228" s="597"/>
      <c r="T228" s="598"/>
      <c r="U228" s="598"/>
      <c r="V228" s="598"/>
      <c r="W228" s="598"/>
      <c r="X228" s="584"/>
      <c r="Y228" s="584"/>
      <c r="Z228" s="599"/>
      <c r="AA228" s="600"/>
      <c r="AB228" s="600"/>
    </row>
    <row r="229" spans="1:28" ht="15.75" hidden="1" outlineLevel="1">
      <c r="A229" s="584"/>
      <c r="B229" s="1509"/>
      <c r="C229" s="1509"/>
      <c r="D229" s="1509"/>
      <c r="E229" s="1509" t="s">
        <v>1179</v>
      </c>
      <c r="F229" s="1504"/>
      <c r="G229" s="1509"/>
      <c r="H229" s="636"/>
      <c r="I229" s="636"/>
      <c r="J229" s="1599"/>
      <c r="O229" s="595"/>
      <c r="P229" s="596"/>
      <c r="Q229" s="597"/>
      <c r="R229" s="597"/>
      <c r="S229" s="597"/>
      <c r="T229" s="598"/>
      <c r="U229" s="598"/>
      <c r="V229" s="598"/>
      <c r="W229" s="598"/>
      <c r="X229" s="584"/>
      <c r="Y229" s="584"/>
      <c r="Z229" s="599"/>
      <c r="AA229" s="600"/>
      <c r="AB229" s="600"/>
    </row>
    <row r="230" spans="1:28" ht="15.75" hidden="1" outlineLevel="1">
      <c r="A230" s="584"/>
      <c r="B230" s="1570"/>
      <c r="C230" s="1570"/>
      <c r="D230" s="1570"/>
      <c r="E230" s="1570" t="s">
        <v>504</v>
      </c>
      <c r="F230" s="1570" t="s">
        <v>1162</v>
      </c>
      <c r="G230" s="1570" t="s">
        <v>1163</v>
      </c>
      <c r="H230" s="1570" t="s">
        <v>1152</v>
      </c>
      <c r="I230" s="1570" t="s">
        <v>1164</v>
      </c>
      <c r="J230" s="1570" t="s">
        <v>123</v>
      </c>
      <c r="O230" s="595"/>
      <c r="P230" s="596"/>
      <c r="Q230" s="597"/>
      <c r="R230" s="597"/>
      <c r="S230" s="597"/>
      <c r="T230" s="598"/>
      <c r="U230" s="598"/>
      <c r="V230" s="598"/>
      <c r="W230" s="598"/>
      <c r="X230" s="584"/>
      <c r="Y230" s="584"/>
      <c r="Z230" s="599"/>
      <c r="AA230" s="600"/>
      <c r="AB230" s="600"/>
    </row>
    <row r="231" spans="1:28" ht="15.75" hidden="1" outlineLevel="1">
      <c r="A231" s="584">
        <v>1</v>
      </c>
      <c r="B231" t="str">
        <f>+B$30</f>
        <v xml:space="preserve">Carson City </v>
      </c>
      <c r="C231" s="766"/>
      <c r="D231" s="766">
        <f>$D$15</f>
        <v>6931.8379999999997</v>
      </c>
      <c r="E231" s="1623">
        <f t="shared" ref="E231" si="104">+E242+E252</f>
        <v>0</v>
      </c>
      <c r="F231" s="1623">
        <f>+F242+F252</f>
        <v>45750.130799999999</v>
      </c>
      <c r="G231" s="1623">
        <f t="shared" ref="G231:I231" si="105">+G242+G252</f>
        <v>33272.822399999997</v>
      </c>
      <c r="H231" s="1623">
        <f t="shared" si="105"/>
        <v>6238.654199999999</v>
      </c>
      <c r="I231" s="1623">
        <f t="shared" si="105"/>
        <v>831.82055999999989</v>
      </c>
      <c r="J231" s="1621">
        <f t="shared" ref="J231:J237" si="106">SUM(E231:I231)</f>
        <v>86093.427959999986</v>
      </c>
      <c r="O231" s="595"/>
      <c r="P231" s="596"/>
      <c r="Q231" s="597"/>
      <c r="R231" s="597"/>
      <c r="S231" s="597"/>
      <c r="T231" s="598"/>
      <c r="U231" s="598"/>
      <c r="V231" s="598"/>
      <c r="W231" s="598"/>
      <c r="X231" s="584"/>
      <c r="Y231" s="584"/>
      <c r="Z231" s="599"/>
      <c r="AA231" s="600"/>
      <c r="AB231" s="600"/>
    </row>
    <row r="232" spans="1:28" ht="15.75" hidden="1" outlineLevel="1">
      <c r="A232" s="584">
        <f>1+A231</f>
        <v>2</v>
      </c>
      <c r="B232" t="str">
        <f>+$B$31</f>
        <v xml:space="preserve">Churchill </v>
      </c>
      <c r="C232" s="725"/>
      <c r="D232" s="725">
        <f t="shared" ref="D232:D236" si="107">$D$15</f>
        <v>6931.8379999999997</v>
      </c>
      <c r="E232" s="1580">
        <f t="shared" ref="E232:I232" si="108">+E243+E253</f>
        <v>0</v>
      </c>
      <c r="F232" s="1580">
        <f t="shared" si="108"/>
        <v>0</v>
      </c>
      <c r="G232" s="1580">
        <f t="shared" si="108"/>
        <v>0</v>
      </c>
      <c r="H232" s="1580">
        <f t="shared" si="108"/>
        <v>0</v>
      </c>
      <c r="I232" s="1580">
        <f t="shared" si="108"/>
        <v>0</v>
      </c>
      <c r="J232" s="1580">
        <f t="shared" si="106"/>
        <v>0</v>
      </c>
      <c r="O232" s="595"/>
      <c r="P232" s="596"/>
      <c r="Q232" s="597"/>
      <c r="R232" s="597"/>
      <c r="S232" s="597"/>
      <c r="T232" s="598"/>
      <c r="U232" s="598"/>
      <c r="V232" s="598"/>
      <c r="W232" s="598"/>
      <c r="X232" s="584"/>
      <c r="Y232" s="584"/>
      <c r="Z232" s="599"/>
      <c r="AA232" s="600"/>
      <c r="AB232" s="600"/>
    </row>
    <row r="233" spans="1:28" ht="15.75" hidden="1" outlineLevel="1">
      <c r="A233" s="584">
        <f t="shared" ref="A233:A236" si="109">1+A232</f>
        <v>3</v>
      </c>
      <c r="B233" t="str">
        <f>+$B$32</f>
        <v xml:space="preserve">Clark </v>
      </c>
      <c r="C233" s="725"/>
      <c r="D233" s="725">
        <f t="shared" si="107"/>
        <v>6931.8379999999997</v>
      </c>
      <c r="E233" s="1580">
        <f t="shared" ref="E233:I233" si="110">+E244+E254</f>
        <v>0</v>
      </c>
      <c r="F233" s="1580">
        <f t="shared" si="110"/>
        <v>68625.196200000006</v>
      </c>
      <c r="G233" s="1580">
        <f t="shared" si="110"/>
        <v>0</v>
      </c>
      <c r="H233" s="1580">
        <f t="shared" si="110"/>
        <v>0</v>
      </c>
      <c r="I233" s="1580">
        <f t="shared" si="110"/>
        <v>0</v>
      </c>
      <c r="J233" s="1580">
        <f t="shared" si="106"/>
        <v>68625.196200000006</v>
      </c>
      <c r="O233" s="595"/>
      <c r="P233" s="596"/>
      <c r="Q233" s="597"/>
      <c r="R233" s="597"/>
      <c r="S233" s="597"/>
      <c r="T233" s="598"/>
      <c r="U233" s="598"/>
      <c r="V233" s="598"/>
      <c r="W233" s="598"/>
      <c r="X233" s="584"/>
      <c r="Y233" s="584"/>
      <c r="Z233" s="599"/>
      <c r="AA233" s="600"/>
      <c r="AB233" s="600"/>
    </row>
    <row r="234" spans="1:28" ht="15.75" hidden="1" outlineLevel="1">
      <c r="A234" s="584">
        <f t="shared" si="109"/>
        <v>4</v>
      </c>
      <c r="B234" t="str">
        <f>+$B$33</f>
        <v xml:space="preserve">Elko </v>
      </c>
      <c r="C234" s="725"/>
      <c r="D234" s="725">
        <f t="shared" si="107"/>
        <v>6931.8379999999997</v>
      </c>
      <c r="E234" s="1580">
        <f t="shared" ref="E234:I234" si="111">+E245+E255</f>
        <v>0</v>
      </c>
      <c r="F234" s="1580">
        <f t="shared" si="111"/>
        <v>11437.5327</v>
      </c>
      <c r="G234" s="1580">
        <f t="shared" si="111"/>
        <v>0</v>
      </c>
      <c r="H234" s="1580">
        <f t="shared" si="111"/>
        <v>0</v>
      </c>
      <c r="I234" s="1580">
        <f t="shared" si="111"/>
        <v>0</v>
      </c>
      <c r="J234" s="1580">
        <f t="shared" si="106"/>
        <v>11437.5327</v>
      </c>
      <c r="O234" s="595"/>
      <c r="P234" s="596"/>
      <c r="Q234" s="597"/>
      <c r="R234" s="597"/>
      <c r="S234" s="597"/>
      <c r="T234" s="598"/>
      <c r="U234" s="598"/>
      <c r="V234" s="598"/>
      <c r="W234" s="598"/>
      <c r="X234" s="584"/>
      <c r="Y234" s="584"/>
      <c r="Z234" s="599"/>
      <c r="AA234" s="600"/>
      <c r="AB234" s="600"/>
    </row>
    <row r="235" spans="1:28" ht="15.75" hidden="1" outlineLevel="1">
      <c r="A235" s="584">
        <f t="shared" si="109"/>
        <v>5</v>
      </c>
      <c r="B235" t="str">
        <f>+$B$34</f>
        <v xml:space="preserve">Washoe </v>
      </c>
      <c r="C235" s="725"/>
      <c r="D235" s="725">
        <f t="shared" si="107"/>
        <v>6931.8379999999997</v>
      </c>
      <c r="E235" s="1591">
        <f t="shared" ref="E235:I235" si="112">+E246+E256</f>
        <v>0</v>
      </c>
      <c r="F235" s="1591">
        <f t="shared" si="112"/>
        <v>22875.065399999999</v>
      </c>
      <c r="G235" s="1591">
        <f t="shared" si="112"/>
        <v>0</v>
      </c>
      <c r="H235" s="1591">
        <f t="shared" si="112"/>
        <v>0</v>
      </c>
      <c r="I235" s="1591">
        <f t="shared" si="112"/>
        <v>0</v>
      </c>
      <c r="J235" s="1580">
        <f t="shared" si="106"/>
        <v>22875.065399999999</v>
      </c>
      <c r="O235" s="595"/>
      <c r="P235" s="596"/>
      <c r="Q235" s="597"/>
      <c r="R235" s="597"/>
      <c r="S235" s="597"/>
      <c r="T235" s="598"/>
      <c r="U235" s="598"/>
      <c r="V235" s="598"/>
      <c r="W235" s="598"/>
      <c r="X235" s="584"/>
      <c r="Y235" s="584"/>
      <c r="Z235" s="599"/>
      <c r="AA235" s="600"/>
      <c r="AB235" s="600"/>
    </row>
    <row r="236" spans="1:28" ht="15.75" hidden="1" outlineLevel="1">
      <c r="A236" s="584">
        <f t="shared" si="109"/>
        <v>6</v>
      </c>
      <c r="B236" t="str">
        <f>+$B$35</f>
        <v xml:space="preserve">White Pine </v>
      </c>
      <c r="C236" s="725"/>
      <c r="D236" s="725">
        <f t="shared" si="107"/>
        <v>6931.8379999999997</v>
      </c>
      <c r="E236" s="1591">
        <f t="shared" ref="E236:I236" si="113">+E247+E257</f>
        <v>0</v>
      </c>
      <c r="F236" s="1591">
        <f t="shared" si="113"/>
        <v>0</v>
      </c>
      <c r="G236" s="1591">
        <f t="shared" si="113"/>
        <v>0</v>
      </c>
      <c r="H236" s="1591">
        <f t="shared" si="113"/>
        <v>0</v>
      </c>
      <c r="I236" s="1591">
        <f t="shared" si="113"/>
        <v>0</v>
      </c>
      <c r="J236" s="1591">
        <f t="shared" si="106"/>
        <v>0</v>
      </c>
      <c r="O236" s="595"/>
      <c r="P236" s="596"/>
      <c r="Q236" s="597"/>
      <c r="R236" s="597"/>
      <c r="S236" s="597"/>
      <c r="T236" s="598"/>
      <c r="U236" s="598"/>
      <c r="V236" s="598"/>
      <c r="W236" s="598"/>
      <c r="X236" s="584"/>
      <c r="Y236" s="584"/>
      <c r="Z236" s="599"/>
      <c r="AA236" s="600"/>
      <c r="AB236" s="600"/>
    </row>
    <row r="237" spans="1:28" ht="15.75" hidden="1" outlineLevel="1">
      <c r="A237" s="584"/>
      <c r="B237" s="1592" t="s">
        <v>123</v>
      </c>
      <c r="C237" s="1592"/>
      <c r="D237" s="1592"/>
      <c r="E237" s="1622">
        <f>SUM(E231:E236)</f>
        <v>0</v>
      </c>
      <c r="F237" s="1622">
        <f>SUM(F231:F236)</f>
        <v>148687.92509999999</v>
      </c>
      <c r="G237" s="1622">
        <f t="shared" ref="G237" si="114">SUM(G231:G236)</f>
        <v>33272.822399999997</v>
      </c>
      <c r="H237" s="1622">
        <f t="shared" ref="H237" si="115">SUM(H231:H236)</f>
        <v>6238.654199999999</v>
      </c>
      <c r="I237" s="1622">
        <f t="shared" ref="I237" si="116">SUM(I231:I236)</f>
        <v>831.82055999999989</v>
      </c>
      <c r="J237" s="1624">
        <f t="shared" si="106"/>
        <v>189031.22225999998</v>
      </c>
      <c r="O237" s="595"/>
      <c r="P237" s="596"/>
      <c r="Q237" s="597"/>
      <c r="R237" s="597"/>
      <c r="S237" s="597"/>
      <c r="T237" s="598"/>
      <c r="U237" s="598"/>
      <c r="V237" s="598"/>
      <c r="W237" s="598"/>
      <c r="X237" s="584"/>
      <c r="Y237" s="584"/>
      <c r="Z237" s="599"/>
      <c r="AA237" s="600"/>
      <c r="AB237" s="600"/>
    </row>
    <row r="238" spans="1:28" ht="15.75" hidden="1" outlineLevel="1">
      <c r="A238" s="584"/>
      <c r="J238" s="1585"/>
      <c r="O238" s="595"/>
      <c r="P238" s="596"/>
      <c r="Q238" s="597"/>
      <c r="R238" s="597"/>
      <c r="S238" s="597"/>
      <c r="T238" s="598"/>
      <c r="U238" s="598"/>
      <c r="V238" s="598"/>
      <c r="W238" s="598"/>
      <c r="X238" s="584"/>
      <c r="Y238" s="584"/>
      <c r="Z238" s="599"/>
      <c r="AA238" s="600"/>
      <c r="AB238" s="600"/>
    </row>
    <row r="239" spans="1:28" ht="15.75" hidden="1" outlineLevel="1">
      <c r="A239" s="584"/>
      <c r="E239" s="1509" t="s">
        <v>1187</v>
      </c>
      <c r="F239" s="1504"/>
      <c r="G239" s="1509"/>
      <c r="H239" s="1509"/>
      <c r="I239" s="1509"/>
      <c r="J239" s="636"/>
      <c r="O239" s="595"/>
      <c r="P239" s="596"/>
      <c r="Q239" s="597"/>
      <c r="R239" s="597"/>
      <c r="S239" s="597"/>
      <c r="T239" s="598"/>
      <c r="U239" s="598"/>
      <c r="V239" s="598"/>
      <c r="W239" s="598"/>
      <c r="X239" s="584"/>
      <c r="Y239" s="584"/>
      <c r="Z239" s="599"/>
      <c r="AA239" s="600"/>
      <c r="AB239" s="600"/>
    </row>
    <row r="240" spans="1:28" ht="15.75" hidden="1" outlineLevel="1">
      <c r="A240" s="584"/>
      <c r="E240" s="1570" t="s">
        <v>504</v>
      </c>
      <c r="F240" s="1570" t="s">
        <v>1162</v>
      </c>
      <c r="G240" s="1570" t="s">
        <v>1163</v>
      </c>
      <c r="H240" s="1570" t="s">
        <v>1152</v>
      </c>
      <c r="I240" s="1570" t="s">
        <v>1164</v>
      </c>
      <c r="J240" s="1581"/>
      <c r="O240" s="595"/>
      <c r="P240" s="596"/>
      <c r="Q240" s="597"/>
      <c r="R240" s="597"/>
      <c r="S240" s="597"/>
      <c r="T240" s="598"/>
      <c r="U240" s="598"/>
      <c r="V240" s="598"/>
      <c r="W240" s="598"/>
      <c r="X240" s="584"/>
      <c r="Y240" s="584"/>
      <c r="Z240" s="599"/>
      <c r="AA240" s="600"/>
      <c r="AB240" s="600"/>
    </row>
    <row r="241" spans="1:28" ht="15.75" hidden="1" outlineLevel="1">
      <c r="A241" s="584"/>
      <c r="E241" s="1581"/>
      <c r="F241" s="1578">
        <f>+F206</f>
        <v>0.33</v>
      </c>
      <c r="G241" s="1578">
        <f t="shared" ref="G241:I241" si="117">+G206</f>
        <v>0.24</v>
      </c>
      <c r="H241" s="1578">
        <f t="shared" si="117"/>
        <v>0.03</v>
      </c>
      <c r="I241" s="1578">
        <f t="shared" si="117"/>
        <v>0.12</v>
      </c>
      <c r="J241" s="1570" t="s">
        <v>123</v>
      </c>
      <c r="O241" s="595"/>
      <c r="P241" s="596"/>
      <c r="Q241" s="597"/>
      <c r="R241" s="597"/>
      <c r="S241" s="597"/>
      <c r="T241" s="598"/>
      <c r="U241" s="598"/>
      <c r="V241" s="598"/>
      <c r="W241" s="598"/>
      <c r="X241" s="584"/>
      <c r="Y241" s="584"/>
      <c r="Z241" s="599"/>
      <c r="AA241" s="600"/>
      <c r="AB241" s="600"/>
    </row>
    <row r="242" spans="1:28" ht="15.75" hidden="1" outlineLevel="1">
      <c r="A242" s="584">
        <v>1</v>
      </c>
      <c r="B242" t="str">
        <f>+B$30</f>
        <v xml:space="preserve">Carson City </v>
      </c>
      <c r="C242" s="725"/>
      <c r="D242" s="725">
        <f t="shared" ref="D242:D247" si="118">$D$15</f>
        <v>6931.8379999999997</v>
      </c>
      <c r="E242" s="1583"/>
      <c r="F242" s="1642">
        <f t="shared" ref="F242:I247" si="119">F$206*F170*$D242</f>
        <v>45750.130799999999</v>
      </c>
      <c r="G242" s="1642">
        <f t="shared" si="119"/>
        <v>33272.822399999997</v>
      </c>
      <c r="H242" s="1642">
        <f t="shared" si="119"/>
        <v>6238.654199999999</v>
      </c>
      <c r="I242" s="1642">
        <f t="shared" si="119"/>
        <v>831.82055999999989</v>
      </c>
      <c r="J242" s="1621">
        <f t="shared" ref="J242:J248" si="120">SUM(E242:I242)</f>
        <v>86093.427959999986</v>
      </c>
      <c r="O242" s="595"/>
      <c r="P242" s="596"/>
      <c r="Q242" s="597"/>
      <c r="R242" s="597"/>
      <c r="S242" s="597"/>
      <c r="T242" s="598"/>
      <c r="U242" s="598"/>
      <c r="V242" s="598"/>
      <c r="W242" s="598"/>
      <c r="X242" s="584"/>
      <c r="Y242" s="584"/>
      <c r="Z242" s="599"/>
      <c r="AA242" s="600"/>
      <c r="AB242" s="600"/>
    </row>
    <row r="243" spans="1:28" ht="15.75" hidden="1" outlineLevel="1">
      <c r="A243" s="584">
        <f>1+A242</f>
        <v>2</v>
      </c>
      <c r="B243" t="str">
        <f>+$B$31</f>
        <v xml:space="preserve">Churchill </v>
      </c>
      <c r="C243" s="725"/>
      <c r="D243" s="725">
        <f t="shared" si="118"/>
        <v>6931.8379999999997</v>
      </c>
      <c r="E243" s="1583"/>
      <c r="F243" s="1618">
        <f t="shared" si="119"/>
        <v>0</v>
      </c>
      <c r="G243" s="1618">
        <f t="shared" si="119"/>
        <v>0</v>
      </c>
      <c r="H243" s="1618">
        <f t="shared" si="119"/>
        <v>0</v>
      </c>
      <c r="I243" s="1618">
        <f t="shared" si="119"/>
        <v>0</v>
      </c>
      <c r="J243" s="1580">
        <f t="shared" si="120"/>
        <v>0</v>
      </c>
      <c r="O243" s="595"/>
      <c r="P243" s="596"/>
      <c r="Q243" s="597"/>
      <c r="R243" s="597"/>
      <c r="S243" s="597"/>
      <c r="T243" s="598"/>
      <c r="U243" s="598"/>
      <c r="V243" s="598"/>
      <c r="W243" s="598"/>
      <c r="X243" s="584"/>
      <c r="Y243" s="584"/>
      <c r="Z243" s="599"/>
      <c r="AA243" s="600"/>
      <c r="AB243" s="600"/>
    </row>
    <row r="244" spans="1:28" ht="15.75" hidden="1" outlineLevel="1">
      <c r="A244" s="584">
        <f t="shared" ref="A244:A247" si="121">1+A243</f>
        <v>3</v>
      </c>
      <c r="B244" t="str">
        <f>+$B$32</f>
        <v xml:space="preserve">Clark </v>
      </c>
      <c r="C244" s="725"/>
      <c r="D244" s="725">
        <f t="shared" si="118"/>
        <v>6931.8379999999997</v>
      </c>
      <c r="E244" s="1583"/>
      <c r="F244" s="1618">
        <f t="shared" si="119"/>
        <v>68625.196200000006</v>
      </c>
      <c r="G244" s="1618">
        <f t="shared" si="119"/>
        <v>0</v>
      </c>
      <c r="H244" s="1618">
        <f t="shared" si="119"/>
        <v>0</v>
      </c>
      <c r="I244" s="1618">
        <f t="shared" si="119"/>
        <v>0</v>
      </c>
      <c r="J244" s="1580">
        <f t="shared" si="120"/>
        <v>68625.196200000006</v>
      </c>
      <c r="O244" s="595"/>
      <c r="P244" s="596"/>
      <c r="Q244" s="597"/>
      <c r="R244" s="597"/>
      <c r="S244" s="597"/>
      <c r="T244" s="598"/>
      <c r="U244" s="598"/>
      <c r="V244" s="598"/>
      <c r="W244" s="598"/>
      <c r="X244" s="584"/>
      <c r="Y244" s="584"/>
      <c r="Z244" s="599"/>
      <c r="AA244" s="600"/>
      <c r="AB244" s="600"/>
    </row>
    <row r="245" spans="1:28" ht="15.75" hidden="1" outlineLevel="1">
      <c r="A245" s="584">
        <f t="shared" si="121"/>
        <v>4</v>
      </c>
      <c r="B245" t="str">
        <f>+$B$33</f>
        <v xml:space="preserve">Elko </v>
      </c>
      <c r="C245" s="725"/>
      <c r="D245" s="725">
        <f t="shared" si="118"/>
        <v>6931.8379999999997</v>
      </c>
      <c r="E245" s="1583"/>
      <c r="F245" s="1618">
        <f t="shared" si="119"/>
        <v>11437.5327</v>
      </c>
      <c r="G245" s="1618">
        <f t="shared" si="119"/>
        <v>0</v>
      </c>
      <c r="H245" s="1618">
        <f t="shared" si="119"/>
        <v>0</v>
      </c>
      <c r="I245" s="1618">
        <f t="shared" si="119"/>
        <v>0</v>
      </c>
      <c r="J245" s="1580">
        <f t="shared" si="120"/>
        <v>11437.5327</v>
      </c>
      <c r="O245" s="595"/>
      <c r="P245" s="596"/>
      <c r="Q245" s="597"/>
      <c r="R245" s="597"/>
      <c r="S245" s="597"/>
      <c r="T245" s="598"/>
      <c r="U245" s="598"/>
      <c r="V245" s="598"/>
      <c r="W245" s="598"/>
      <c r="X245" s="584"/>
      <c r="Y245" s="584"/>
      <c r="Z245" s="599"/>
      <c r="AA245" s="600"/>
      <c r="AB245" s="600"/>
    </row>
    <row r="246" spans="1:28" ht="15.75" hidden="1" outlineLevel="1">
      <c r="A246" s="584">
        <f t="shared" si="121"/>
        <v>5</v>
      </c>
      <c r="B246" t="str">
        <f>+$B$34</f>
        <v xml:space="preserve">Washoe </v>
      </c>
      <c r="C246" s="725"/>
      <c r="D246" s="725">
        <f t="shared" si="118"/>
        <v>6931.8379999999997</v>
      </c>
      <c r="E246" s="1583"/>
      <c r="F246" s="1618">
        <f t="shared" si="119"/>
        <v>22875.065399999999</v>
      </c>
      <c r="G246" s="1618">
        <f t="shared" si="119"/>
        <v>0</v>
      </c>
      <c r="H246" s="1618">
        <f t="shared" si="119"/>
        <v>0</v>
      </c>
      <c r="I246" s="1618">
        <f t="shared" si="119"/>
        <v>0</v>
      </c>
      <c r="J246" s="1580">
        <f t="shared" si="120"/>
        <v>22875.065399999999</v>
      </c>
      <c r="O246" s="595"/>
      <c r="P246" s="596"/>
      <c r="Q246" s="597"/>
      <c r="R246" s="597"/>
      <c r="S246" s="597"/>
      <c r="T246" s="598"/>
      <c r="U246" s="598"/>
      <c r="V246" s="598"/>
      <c r="W246" s="598"/>
      <c r="X246" s="584"/>
      <c r="Y246" s="584"/>
      <c r="Z246" s="599"/>
      <c r="AA246" s="600"/>
      <c r="AB246" s="600"/>
    </row>
    <row r="247" spans="1:28" ht="15.75" hidden="1" outlineLevel="1">
      <c r="A247" s="584">
        <f t="shared" si="121"/>
        <v>6</v>
      </c>
      <c r="B247" t="str">
        <f>+$B$35</f>
        <v xml:space="preserve">White Pine </v>
      </c>
      <c r="C247" s="725"/>
      <c r="D247" s="725">
        <f t="shared" si="118"/>
        <v>6931.8379999999997</v>
      </c>
      <c r="E247" s="1583"/>
      <c r="F247" s="1619">
        <f t="shared" si="119"/>
        <v>0</v>
      </c>
      <c r="G247" s="1619">
        <f t="shared" si="119"/>
        <v>0</v>
      </c>
      <c r="H247" s="1619">
        <f t="shared" si="119"/>
        <v>0</v>
      </c>
      <c r="I247" s="1619">
        <f t="shared" si="119"/>
        <v>0</v>
      </c>
      <c r="J247" s="1591">
        <f t="shared" si="120"/>
        <v>0</v>
      </c>
      <c r="O247" s="595"/>
      <c r="P247" s="596"/>
      <c r="Q247" s="597"/>
      <c r="R247" s="597"/>
      <c r="S247" s="597"/>
      <c r="T247" s="598"/>
      <c r="U247" s="598"/>
      <c r="V247" s="598"/>
      <c r="W247" s="598"/>
      <c r="X247" s="584"/>
      <c r="Y247" s="584"/>
      <c r="Z247" s="599"/>
      <c r="AA247" s="600"/>
      <c r="AB247" s="600"/>
    </row>
    <row r="248" spans="1:28" ht="15.75" hidden="1" outlineLevel="1">
      <c r="A248" s="584"/>
      <c r="B248" s="1592" t="s">
        <v>123</v>
      </c>
      <c r="C248" s="1592"/>
      <c r="D248" s="1592"/>
      <c r="E248" s="1627"/>
      <c r="F248" s="1626">
        <f t="shared" ref="F248" si="122">SUM(F242:F247)</f>
        <v>148687.92509999999</v>
      </c>
      <c r="G248" s="1626">
        <f t="shared" ref="G248" si="123">SUM(G242:G247)</f>
        <v>33272.822399999997</v>
      </c>
      <c r="H248" s="1626">
        <f t="shared" ref="H248" si="124">SUM(H242:H247)</f>
        <v>6238.654199999999</v>
      </c>
      <c r="I248" s="1626">
        <f t="shared" ref="I248" si="125">SUM(I242:I247)</f>
        <v>831.82055999999989</v>
      </c>
      <c r="J248" s="1622">
        <f t="shared" si="120"/>
        <v>189031.22225999998</v>
      </c>
      <c r="O248" s="595"/>
      <c r="P248" s="596"/>
      <c r="Q248" s="597"/>
      <c r="R248" s="597"/>
      <c r="S248" s="597"/>
      <c r="T248" s="598"/>
      <c r="U248" s="598"/>
      <c r="V248" s="598"/>
      <c r="W248" s="598"/>
      <c r="X248" s="584"/>
      <c r="Y248" s="584"/>
      <c r="Z248" s="599"/>
      <c r="AA248" s="600"/>
      <c r="AB248" s="600"/>
    </row>
    <row r="249" spans="1:28" ht="15.75" hidden="1" outlineLevel="1">
      <c r="A249" s="584"/>
      <c r="O249" s="595"/>
      <c r="P249" s="596"/>
      <c r="Q249" s="597"/>
      <c r="R249" s="597"/>
      <c r="S249" s="597"/>
      <c r="T249" s="598"/>
      <c r="U249" s="598"/>
      <c r="V249" s="598"/>
      <c r="W249" s="598"/>
      <c r="X249" s="584"/>
      <c r="Y249" s="584"/>
      <c r="Z249" s="599"/>
      <c r="AA249" s="600"/>
      <c r="AB249" s="600"/>
    </row>
    <row r="250" spans="1:28" ht="15.75" hidden="1" outlineLevel="1">
      <c r="A250" s="584"/>
      <c r="E250" s="1509" t="s">
        <v>1188</v>
      </c>
      <c r="F250" s="1"/>
      <c r="G250" s="636"/>
      <c r="H250" s="636"/>
      <c r="I250" s="636"/>
      <c r="O250" s="595"/>
      <c r="P250" s="596"/>
      <c r="Q250" s="597"/>
      <c r="R250" s="597"/>
      <c r="S250" s="597"/>
      <c r="T250" s="598"/>
      <c r="U250" s="598"/>
      <c r="V250" s="598"/>
      <c r="W250" s="598"/>
      <c r="X250" s="584"/>
      <c r="Y250" s="584"/>
      <c r="Z250" s="599"/>
      <c r="AA250" s="600"/>
      <c r="AB250" s="600"/>
    </row>
    <row r="251" spans="1:28" ht="15.75" hidden="1" outlineLevel="1">
      <c r="A251" s="584"/>
      <c r="E251" s="1570" t="s">
        <v>504</v>
      </c>
      <c r="F251" s="1593" t="s">
        <v>1162</v>
      </c>
      <c r="G251" s="1570" t="s">
        <v>1163</v>
      </c>
      <c r="H251" s="1570" t="s">
        <v>1152</v>
      </c>
      <c r="I251" s="1570" t="s">
        <v>1164</v>
      </c>
      <c r="J251" s="1593" t="s">
        <v>123</v>
      </c>
      <c r="O251" s="595"/>
      <c r="P251" s="596"/>
      <c r="Q251" s="597"/>
      <c r="R251" s="597"/>
      <c r="S251" s="597"/>
      <c r="T251" s="598"/>
      <c r="U251" s="598"/>
      <c r="V251" s="598"/>
      <c r="W251" s="598"/>
      <c r="X251" s="584"/>
      <c r="Y251" s="584"/>
      <c r="Z251" s="599"/>
      <c r="AA251" s="600"/>
      <c r="AB251" s="600"/>
    </row>
    <row r="252" spans="1:28" ht="15.75" hidden="1" outlineLevel="1">
      <c r="A252" s="584">
        <v>1</v>
      </c>
      <c r="B252" t="str">
        <f>+B$30</f>
        <v xml:space="preserve">Carson City </v>
      </c>
      <c r="C252" s="725"/>
      <c r="D252" s="725">
        <f t="shared" ref="D252:D257" si="126">$D$15</f>
        <v>6931.8379999999997</v>
      </c>
      <c r="E252" s="1643">
        <f t="shared" ref="E252:I257" si="127">+$E137*E159</f>
        <v>0</v>
      </c>
      <c r="F252" s="1643">
        <f t="shared" si="127"/>
        <v>0</v>
      </c>
      <c r="G252" s="1643">
        <f t="shared" si="127"/>
        <v>0</v>
      </c>
      <c r="H252" s="1643">
        <f t="shared" si="127"/>
        <v>0</v>
      </c>
      <c r="I252" s="1643">
        <f t="shared" si="127"/>
        <v>0</v>
      </c>
      <c r="J252" s="1625">
        <f t="shared" ref="J252:J258" si="128">SUM(E252:I252)</f>
        <v>0</v>
      </c>
      <c r="O252" s="595"/>
      <c r="P252" s="596"/>
      <c r="Q252" s="597"/>
      <c r="R252" s="597"/>
      <c r="S252" s="597"/>
      <c r="T252" s="598"/>
      <c r="U252" s="598"/>
      <c r="V252" s="598"/>
      <c r="W252" s="598"/>
      <c r="X252" s="584"/>
      <c r="Y252" s="584"/>
      <c r="Z252" s="599"/>
      <c r="AA252" s="600"/>
      <c r="AB252" s="600"/>
    </row>
    <row r="253" spans="1:28" ht="15.75" hidden="1" outlineLevel="1">
      <c r="A253" s="584">
        <f>1+A252</f>
        <v>2</v>
      </c>
      <c r="B253" t="str">
        <f>+$B$31</f>
        <v xml:space="preserve">Churchill </v>
      </c>
      <c r="C253" s="725"/>
      <c r="D253" s="725">
        <f t="shared" si="126"/>
        <v>6931.8379999999997</v>
      </c>
      <c r="E253" s="1595">
        <f t="shared" si="127"/>
        <v>0</v>
      </c>
      <c r="F253" s="1595">
        <f t="shared" si="127"/>
        <v>0</v>
      </c>
      <c r="G253" s="1595">
        <f t="shared" si="127"/>
        <v>0</v>
      </c>
      <c r="H253" s="1595">
        <f t="shared" si="127"/>
        <v>0</v>
      </c>
      <c r="I253" s="1595">
        <f t="shared" si="127"/>
        <v>0</v>
      </c>
      <c r="J253" s="1585">
        <f t="shared" si="128"/>
        <v>0</v>
      </c>
      <c r="O253" s="595"/>
      <c r="P253" s="596"/>
      <c r="Q253" s="597"/>
      <c r="R253" s="597"/>
      <c r="S253" s="597"/>
      <c r="T253" s="598"/>
      <c r="U253" s="598"/>
      <c r="V253" s="598"/>
      <c r="W253" s="598"/>
      <c r="X253" s="584"/>
      <c r="Y253" s="584"/>
      <c r="Z253" s="599"/>
      <c r="AA253" s="600"/>
      <c r="AB253" s="600"/>
    </row>
    <row r="254" spans="1:28" ht="15.75" hidden="1" outlineLevel="1">
      <c r="A254" s="584">
        <f t="shared" ref="A254:A257" si="129">1+A253</f>
        <v>3</v>
      </c>
      <c r="B254" t="str">
        <f>+$B$32</f>
        <v xml:space="preserve">Clark </v>
      </c>
      <c r="C254" s="725"/>
      <c r="D254" s="725">
        <f t="shared" si="126"/>
        <v>6931.8379999999997</v>
      </c>
      <c r="E254" s="1595">
        <f t="shared" si="127"/>
        <v>0</v>
      </c>
      <c r="F254" s="1595">
        <f t="shared" si="127"/>
        <v>0</v>
      </c>
      <c r="G254" s="1595">
        <f t="shared" si="127"/>
        <v>0</v>
      </c>
      <c r="H254" s="1595">
        <f t="shared" si="127"/>
        <v>0</v>
      </c>
      <c r="I254" s="1595">
        <f t="shared" si="127"/>
        <v>0</v>
      </c>
      <c r="J254" s="1585">
        <f t="shared" si="128"/>
        <v>0</v>
      </c>
      <c r="O254" s="595"/>
      <c r="P254" s="596"/>
      <c r="Q254" s="597"/>
      <c r="R254" s="597"/>
      <c r="S254" s="597"/>
      <c r="T254" s="598"/>
      <c r="U254" s="598"/>
      <c r="V254" s="598"/>
      <c r="W254" s="598"/>
      <c r="X254" s="584"/>
      <c r="Y254" s="584"/>
      <c r="Z254" s="599"/>
      <c r="AA254" s="600"/>
      <c r="AB254" s="600"/>
    </row>
    <row r="255" spans="1:28" ht="15.75" hidden="1" outlineLevel="1">
      <c r="A255" s="584">
        <f t="shared" si="129"/>
        <v>4</v>
      </c>
      <c r="B255" t="str">
        <f>+$B$33</f>
        <v xml:space="preserve">Elko </v>
      </c>
      <c r="C255" s="725"/>
      <c r="D255" s="725">
        <f t="shared" si="126"/>
        <v>6931.8379999999997</v>
      </c>
      <c r="E255" s="1595">
        <f t="shared" si="127"/>
        <v>0</v>
      </c>
      <c r="F255" s="1595">
        <f t="shared" si="127"/>
        <v>0</v>
      </c>
      <c r="G255" s="1595">
        <f t="shared" si="127"/>
        <v>0</v>
      </c>
      <c r="H255" s="1595">
        <f t="shared" si="127"/>
        <v>0</v>
      </c>
      <c r="I255" s="1595">
        <f t="shared" si="127"/>
        <v>0</v>
      </c>
      <c r="J255" s="1585">
        <f t="shared" si="128"/>
        <v>0</v>
      </c>
      <c r="O255" s="595"/>
      <c r="P255" s="596"/>
      <c r="Q255" s="597"/>
      <c r="R255" s="597"/>
      <c r="S255" s="597"/>
      <c r="T255" s="598"/>
      <c r="U255" s="598"/>
      <c r="V255" s="598"/>
      <c r="W255" s="598"/>
      <c r="X255" s="584"/>
      <c r="Y255" s="584"/>
      <c r="Z255" s="599"/>
      <c r="AA255" s="600"/>
      <c r="AB255" s="600"/>
    </row>
    <row r="256" spans="1:28" ht="15.75" hidden="1" outlineLevel="1">
      <c r="A256" s="584">
        <f t="shared" si="129"/>
        <v>5</v>
      </c>
      <c r="B256" t="str">
        <f>+$B$34</f>
        <v xml:space="preserve">Washoe </v>
      </c>
      <c r="C256" s="725"/>
      <c r="D256" s="725">
        <f t="shared" si="126"/>
        <v>6931.8379999999997</v>
      </c>
      <c r="E256" s="1595">
        <f t="shared" si="127"/>
        <v>0</v>
      </c>
      <c r="F256" s="1595">
        <f t="shared" si="127"/>
        <v>0</v>
      </c>
      <c r="G256" s="1595">
        <f t="shared" si="127"/>
        <v>0</v>
      </c>
      <c r="H256" s="1595">
        <f t="shared" si="127"/>
        <v>0</v>
      </c>
      <c r="I256" s="1595">
        <f t="shared" si="127"/>
        <v>0</v>
      </c>
      <c r="J256" s="1585">
        <f t="shared" si="128"/>
        <v>0</v>
      </c>
      <c r="O256" s="595"/>
      <c r="P256" s="596"/>
      <c r="Q256" s="597"/>
      <c r="R256" s="597"/>
      <c r="S256" s="597"/>
      <c r="T256" s="598"/>
      <c r="U256" s="598"/>
      <c r="V256" s="598"/>
      <c r="W256" s="598"/>
      <c r="X256" s="584"/>
      <c r="Y256" s="584"/>
      <c r="Z256" s="599"/>
      <c r="AA256" s="600"/>
      <c r="AB256" s="600"/>
    </row>
    <row r="257" spans="1:28" ht="15.75" hidden="1" outlineLevel="1">
      <c r="A257" s="584">
        <f t="shared" si="129"/>
        <v>6</v>
      </c>
      <c r="B257" t="str">
        <f>+$B$35</f>
        <v xml:space="preserve">White Pine </v>
      </c>
      <c r="C257" s="725"/>
      <c r="D257" s="725">
        <f t="shared" si="126"/>
        <v>6931.8379999999997</v>
      </c>
      <c r="E257" s="1596">
        <f t="shared" si="127"/>
        <v>0</v>
      </c>
      <c r="F257" s="1596">
        <f t="shared" si="127"/>
        <v>0</v>
      </c>
      <c r="G257" s="1596">
        <f t="shared" si="127"/>
        <v>0</v>
      </c>
      <c r="H257" s="1596">
        <f t="shared" si="127"/>
        <v>0</v>
      </c>
      <c r="I257" s="1596">
        <f t="shared" si="127"/>
        <v>0</v>
      </c>
      <c r="J257" s="1585">
        <f t="shared" si="128"/>
        <v>0</v>
      </c>
      <c r="O257" s="595"/>
      <c r="P257" s="596"/>
      <c r="Q257" s="597"/>
      <c r="R257" s="597"/>
      <c r="S257" s="597"/>
      <c r="T257" s="598"/>
      <c r="U257" s="598"/>
      <c r="V257" s="598"/>
      <c r="W257" s="598"/>
      <c r="X257" s="584"/>
      <c r="Y257" s="584"/>
      <c r="Z257" s="599"/>
      <c r="AA257" s="600"/>
      <c r="AB257" s="600"/>
    </row>
    <row r="258" spans="1:28" ht="15.75" hidden="1" outlineLevel="1">
      <c r="A258" s="584"/>
      <c r="B258" s="1592" t="s">
        <v>123</v>
      </c>
      <c r="C258" s="1592"/>
      <c r="D258" s="1592"/>
      <c r="E258" s="1626">
        <f>SUM(E252:E257)</f>
        <v>0</v>
      </c>
      <c r="F258" s="1626">
        <f t="shared" ref="F258" si="130">SUM(F252:F257)</f>
        <v>0</v>
      </c>
      <c r="G258" s="1626">
        <f t="shared" ref="G258" si="131">SUM(G252:G257)</f>
        <v>0</v>
      </c>
      <c r="H258" s="1626">
        <f t="shared" ref="H258" si="132">SUM(H252:H257)</f>
        <v>0</v>
      </c>
      <c r="I258" s="1626">
        <f t="shared" ref="I258" si="133">SUM(I252:I257)</f>
        <v>0</v>
      </c>
      <c r="J258" s="1626">
        <f t="shared" si="128"/>
        <v>0</v>
      </c>
      <c r="O258" s="595"/>
      <c r="P258" s="596"/>
      <c r="Q258" s="597"/>
      <c r="R258" s="597"/>
      <c r="S258" s="597"/>
      <c r="T258" s="598"/>
      <c r="U258" s="598"/>
      <c r="V258" s="598"/>
      <c r="W258" s="598"/>
      <c r="X258" s="584"/>
      <c r="Y258" s="584"/>
      <c r="Z258" s="599"/>
      <c r="AA258" s="600"/>
      <c r="AB258" s="600"/>
    </row>
    <row r="259" spans="1:28" ht="15.75" hidden="1" outlineLevel="1">
      <c r="A259" s="584"/>
      <c r="O259" s="595"/>
      <c r="P259" s="596"/>
      <c r="Q259" s="597"/>
      <c r="R259" s="597"/>
      <c r="S259" s="597"/>
      <c r="T259" s="598"/>
      <c r="U259" s="598"/>
      <c r="V259" s="598"/>
      <c r="W259" s="598"/>
      <c r="X259" s="584"/>
      <c r="Y259" s="584"/>
      <c r="Z259" s="599"/>
      <c r="AA259" s="600"/>
      <c r="AB259" s="600"/>
    </row>
    <row r="260" spans="1:28" ht="15.75" hidden="1" outlineLevel="1">
      <c r="A260" s="584"/>
      <c r="B260" s="1592" t="s">
        <v>1183</v>
      </c>
      <c r="C260" s="1592"/>
      <c r="D260" s="1592"/>
      <c r="E260" s="1626">
        <f>+E248+E258</f>
        <v>0</v>
      </c>
      <c r="F260" s="1626">
        <f t="shared" ref="F260:I260" si="134">+F248+F258</f>
        <v>148687.92509999999</v>
      </c>
      <c r="G260" s="1626">
        <f t="shared" si="134"/>
        <v>33272.822399999997</v>
      </c>
      <c r="H260" s="1626">
        <f t="shared" si="134"/>
        <v>6238.654199999999</v>
      </c>
      <c r="I260" s="1626">
        <f t="shared" si="134"/>
        <v>831.82055999999989</v>
      </c>
      <c r="J260" s="1628">
        <f>SUM(E260:I260)</f>
        <v>189031.22225999998</v>
      </c>
      <c r="O260" s="595"/>
      <c r="P260" s="596"/>
      <c r="Q260" s="597"/>
      <c r="R260" s="597"/>
      <c r="S260" s="597"/>
      <c r="T260" s="598"/>
      <c r="U260" s="598"/>
      <c r="V260" s="598"/>
      <c r="W260" s="598"/>
      <c r="X260" s="584"/>
      <c r="Y260" s="584"/>
      <c r="Z260" s="599"/>
      <c r="AA260" s="600"/>
      <c r="AB260" s="600"/>
    </row>
    <row r="261" spans="1:28" ht="15.75" hidden="1" outlineLevel="1">
      <c r="A261" s="584"/>
      <c r="O261" s="595"/>
      <c r="P261" s="596"/>
      <c r="Q261" s="597"/>
      <c r="R261" s="597"/>
      <c r="S261" s="597"/>
      <c r="T261" s="598"/>
      <c r="U261" s="598"/>
      <c r="V261" s="598"/>
      <c r="W261" s="598"/>
      <c r="X261" s="584"/>
      <c r="Y261" s="584"/>
      <c r="Z261" s="599"/>
      <c r="AA261" s="600"/>
      <c r="AB261" s="600"/>
    </row>
    <row r="262" spans="1:28" ht="15.75" hidden="1" outlineLevel="1">
      <c r="A262" s="584"/>
      <c r="O262" s="595"/>
      <c r="P262" s="596"/>
      <c r="Q262" s="597"/>
      <c r="R262" s="597"/>
      <c r="S262" s="597"/>
      <c r="T262" s="598"/>
      <c r="U262" s="598"/>
      <c r="V262" s="598"/>
      <c r="W262" s="598"/>
      <c r="X262" s="584"/>
      <c r="Y262" s="584"/>
      <c r="Z262" s="599"/>
      <c r="AA262" s="600"/>
      <c r="AB262" s="600"/>
    </row>
    <row r="263" spans="1:28" ht="15.75" hidden="1" outlineLevel="1">
      <c r="A263" s="584"/>
      <c r="O263" s="584"/>
      <c r="P263" s="601"/>
      <c r="Q263" s="601"/>
      <c r="R263" s="601"/>
      <c r="S263" s="601"/>
      <c r="T263" s="584"/>
      <c r="U263" s="584"/>
      <c r="V263" s="584"/>
      <c r="W263" s="584"/>
      <c r="X263" s="584"/>
      <c r="Y263" s="584"/>
      <c r="Z263" s="584"/>
      <c r="AA263" s="584"/>
      <c r="AB263" s="584"/>
    </row>
    <row r="264" spans="1:28" ht="15.75" hidden="1" outlineLevel="1">
      <c r="A264" s="584"/>
      <c r="B264" s="1615" t="s">
        <v>346</v>
      </c>
      <c r="C264" s="1615"/>
      <c r="D264" s="1615"/>
      <c r="E264" s="1616"/>
      <c r="F264" s="1616"/>
      <c r="G264" s="1616"/>
      <c r="H264" s="1616"/>
      <c r="I264" s="1616"/>
      <c r="J264" s="1616"/>
      <c r="O264" s="584"/>
      <c r="P264" s="601"/>
      <c r="Q264" s="601"/>
      <c r="R264" s="601"/>
      <c r="S264" s="601"/>
      <c r="T264" s="584"/>
      <c r="U264" s="584"/>
      <c r="V264" s="584"/>
      <c r="W264" s="584"/>
      <c r="X264" s="584"/>
      <c r="Y264" s="584"/>
      <c r="Z264" s="584"/>
      <c r="AA264" s="584"/>
      <c r="AB264" s="584"/>
    </row>
    <row r="265" spans="1:28" ht="15.75" hidden="1" outlineLevel="1">
      <c r="A265" s="584"/>
      <c r="B265" s="1605" t="s">
        <v>1171</v>
      </c>
      <c r="C265" s="1605"/>
      <c r="D265" s="1605"/>
      <c r="E265" s="1606"/>
      <c r="F265" s="1522"/>
      <c r="G265" s="1605"/>
      <c r="H265" s="1606"/>
      <c r="I265" s="1606"/>
      <c r="J265" s="1607"/>
      <c r="O265" s="584"/>
      <c r="P265" s="601"/>
      <c r="Q265" s="601"/>
      <c r="R265" s="601"/>
      <c r="S265" s="601"/>
      <c r="T265" s="584"/>
      <c r="U265" s="584"/>
      <c r="V265" s="584"/>
      <c r="W265" s="584"/>
      <c r="X265" s="584"/>
      <c r="Y265" s="584"/>
      <c r="Z265" s="584"/>
      <c r="AA265" s="584"/>
      <c r="AB265" s="584"/>
    </row>
    <row r="266" spans="1:28" ht="15.75" hidden="1" outlineLevel="1">
      <c r="A266" s="584"/>
      <c r="B266" s="1509"/>
      <c r="C266" s="1509"/>
      <c r="D266" s="1509"/>
      <c r="E266" s="1509" t="s">
        <v>1179</v>
      </c>
      <c r="F266" s="1504"/>
      <c r="G266" s="1509"/>
      <c r="H266" s="636"/>
      <c r="I266" s="636"/>
      <c r="J266" s="1599"/>
      <c r="O266" s="584"/>
      <c r="P266" s="601"/>
      <c r="Q266" s="601"/>
      <c r="R266" s="601"/>
      <c r="S266" s="601"/>
      <c r="T266" s="584"/>
      <c r="U266" s="584"/>
      <c r="V266" s="584"/>
      <c r="W266" s="584"/>
      <c r="X266" s="584"/>
      <c r="Y266" s="584"/>
      <c r="Z266" s="584"/>
      <c r="AA266" s="584"/>
      <c r="AB266" s="584"/>
    </row>
    <row r="267" spans="1:28" ht="15.75" hidden="1" outlineLevel="1">
      <c r="A267" s="584"/>
      <c r="B267" s="1570"/>
      <c r="C267" s="1570"/>
      <c r="D267" s="1570"/>
      <c r="E267" s="1570" t="s">
        <v>504</v>
      </c>
      <c r="F267" s="1570" t="s">
        <v>1162</v>
      </c>
      <c r="G267" s="1570" t="s">
        <v>1163</v>
      </c>
      <c r="H267" s="1570" t="s">
        <v>1152</v>
      </c>
      <c r="I267" s="1570" t="s">
        <v>1164</v>
      </c>
      <c r="J267" s="1570" t="s">
        <v>123</v>
      </c>
      <c r="O267" s="584"/>
      <c r="P267" s="601"/>
      <c r="Q267" s="601"/>
      <c r="R267" s="601"/>
      <c r="S267" s="601"/>
      <c r="T267" s="584"/>
      <c r="U267" s="584"/>
      <c r="V267" s="584"/>
      <c r="W267" s="584"/>
      <c r="X267" s="584"/>
      <c r="Y267" s="584"/>
      <c r="Z267" s="584"/>
      <c r="AA267" s="584"/>
      <c r="AB267" s="584"/>
    </row>
    <row r="268" spans="1:28" ht="15.75" hidden="1" outlineLevel="1">
      <c r="A268" s="584">
        <v>1</v>
      </c>
      <c r="B268" t="str">
        <f>+B$30</f>
        <v xml:space="preserve">Carson City </v>
      </c>
      <c r="C268" s="766"/>
      <c r="D268" s="766">
        <f>E177</f>
        <v>0</v>
      </c>
      <c r="E268" s="1623">
        <f>+E281+E291</f>
        <v>0</v>
      </c>
      <c r="F268" s="1623">
        <f t="shared" ref="F268:I268" si="135">+F281+F291</f>
        <v>0</v>
      </c>
      <c r="G268" s="1623">
        <f t="shared" si="135"/>
        <v>0</v>
      </c>
      <c r="H268" s="1623">
        <f t="shared" si="135"/>
        <v>0</v>
      </c>
      <c r="I268" s="1623">
        <f t="shared" si="135"/>
        <v>0</v>
      </c>
      <c r="J268" s="1621">
        <f t="shared" ref="J268:J275" si="136">SUM(E268:I268)</f>
        <v>0</v>
      </c>
      <c r="O268" s="584"/>
      <c r="P268" s="601"/>
      <c r="Q268" s="601"/>
      <c r="R268" s="601"/>
      <c r="S268" s="601"/>
      <c r="T268" s="584"/>
      <c r="U268" s="584"/>
      <c r="V268" s="584"/>
      <c r="W268" s="584"/>
      <c r="X268" s="584"/>
      <c r="Y268" s="584"/>
      <c r="Z268" s="584"/>
      <c r="AA268" s="584"/>
      <c r="AB268" s="584"/>
    </row>
    <row r="269" spans="1:28" ht="15.75" hidden="1" outlineLevel="1">
      <c r="A269" s="584">
        <f>1+A268</f>
        <v>2</v>
      </c>
      <c r="B269" t="str">
        <f>+$B$31</f>
        <v xml:space="preserve">Churchill </v>
      </c>
      <c r="C269" s="725"/>
      <c r="D269" s="725">
        <f t="shared" ref="D269:D273" si="137">E178</f>
        <v>0</v>
      </c>
      <c r="E269" s="1580">
        <f t="shared" ref="E269:I269" si="138">+E282+E292</f>
        <v>0</v>
      </c>
      <c r="F269" s="1580">
        <f t="shared" si="138"/>
        <v>0</v>
      </c>
      <c r="G269" s="1580">
        <f t="shared" si="138"/>
        <v>0</v>
      </c>
      <c r="H269" s="1580">
        <f t="shared" si="138"/>
        <v>0</v>
      </c>
      <c r="I269" s="1580">
        <f t="shared" si="138"/>
        <v>0</v>
      </c>
      <c r="J269" s="1580">
        <f t="shared" si="136"/>
        <v>0</v>
      </c>
      <c r="O269" s="584"/>
      <c r="P269" s="601"/>
      <c r="Q269" s="601"/>
      <c r="R269" s="601"/>
      <c r="S269" s="601"/>
      <c r="T269" s="584"/>
      <c r="U269" s="584"/>
      <c r="V269" s="584"/>
      <c r="W269" s="584"/>
      <c r="X269" s="584"/>
      <c r="Y269" s="584"/>
      <c r="Z269" s="584"/>
      <c r="AA269" s="584"/>
      <c r="AB269" s="584"/>
    </row>
    <row r="270" spans="1:28" ht="15.75" hidden="1" outlineLevel="1">
      <c r="A270" s="584">
        <f t="shared" ref="A270:A273" si="139">1+A269</f>
        <v>3</v>
      </c>
      <c r="B270" t="str">
        <f>+$B$32</f>
        <v xml:space="preserve">Clark </v>
      </c>
      <c r="C270" s="725"/>
      <c r="D270" s="725" t="str">
        <f t="shared" si="137"/>
        <v>General</v>
      </c>
      <c r="E270" s="1580" t="e">
        <f t="shared" ref="E270:I270" si="140">+E283+E293</f>
        <v>#VALUE!</v>
      </c>
      <c r="F270" s="1580" t="e">
        <f t="shared" si="140"/>
        <v>#VALUE!</v>
      </c>
      <c r="G270" s="1580" t="e">
        <f t="shared" si="140"/>
        <v>#VALUE!</v>
      </c>
      <c r="H270" s="1580" t="e">
        <f t="shared" si="140"/>
        <v>#VALUE!</v>
      </c>
      <c r="I270" s="1580" t="e">
        <f t="shared" si="140"/>
        <v>#VALUE!</v>
      </c>
      <c r="J270" s="1580" t="e">
        <f t="shared" si="136"/>
        <v>#VALUE!</v>
      </c>
      <c r="O270" s="584"/>
      <c r="P270" s="601"/>
      <c r="Q270" s="601"/>
      <c r="R270" s="601"/>
      <c r="S270" s="601"/>
      <c r="T270" s="584"/>
      <c r="U270" s="584"/>
      <c r="V270" s="584"/>
      <c r="W270" s="584"/>
      <c r="X270" s="584"/>
      <c r="Y270" s="584"/>
      <c r="Z270" s="584"/>
      <c r="AA270" s="584"/>
      <c r="AB270" s="584"/>
    </row>
    <row r="271" spans="1:28" ht="15.75" hidden="1" outlineLevel="1">
      <c r="A271" s="584">
        <f t="shared" si="139"/>
        <v>4</v>
      </c>
      <c r="B271" t="str">
        <f>+$B$33</f>
        <v xml:space="preserve">Elko </v>
      </c>
      <c r="C271" s="725"/>
      <c r="D271" s="725">
        <f t="shared" si="137"/>
        <v>100</v>
      </c>
      <c r="E271" s="1580">
        <f>+E284+E294</f>
        <v>791931.04333333322</v>
      </c>
      <c r="F271" s="1580">
        <f t="shared" ref="F271:I271" si="141">+F284+F294</f>
        <v>3123059.2624893333</v>
      </c>
      <c r="G271" s="1580">
        <f t="shared" si="141"/>
        <v>1415339.1606453331</v>
      </c>
      <c r="H271" s="1580">
        <f t="shared" si="141"/>
        <v>819015.08501533337</v>
      </c>
      <c r="I271" s="1580">
        <f t="shared" si="141"/>
        <v>955385.61067733332</v>
      </c>
      <c r="J271" s="1580">
        <f t="shared" si="136"/>
        <v>7104730.1621606667</v>
      </c>
      <c r="O271" s="584"/>
      <c r="P271" s="601"/>
      <c r="Q271" s="601"/>
      <c r="R271" s="601"/>
      <c r="S271" s="601"/>
      <c r="T271" s="584"/>
      <c r="U271" s="584"/>
      <c r="V271" s="584"/>
      <c r="W271" s="584"/>
      <c r="X271" s="584"/>
      <c r="Y271" s="584"/>
      <c r="Z271" s="584"/>
      <c r="AA271" s="584"/>
      <c r="AB271" s="584"/>
    </row>
    <row r="272" spans="1:28" ht="15.75" hidden="1" outlineLevel="1">
      <c r="A272" s="584">
        <f t="shared" si="139"/>
        <v>5</v>
      </c>
      <c r="B272" t="str">
        <f>+$B$34</f>
        <v xml:space="preserve">Washoe </v>
      </c>
      <c r="C272" s="725"/>
      <c r="D272" s="725">
        <f t="shared" si="137"/>
        <v>0</v>
      </c>
      <c r="E272" s="1591">
        <f t="shared" ref="E272:I272" si="142">+E285+E295</f>
        <v>0</v>
      </c>
      <c r="F272" s="1591">
        <f t="shared" si="142"/>
        <v>0</v>
      </c>
      <c r="G272" s="1591">
        <f t="shared" si="142"/>
        <v>0</v>
      </c>
      <c r="H272" s="1591">
        <f t="shared" si="142"/>
        <v>0</v>
      </c>
      <c r="I272" s="1591">
        <f t="shared" si="142"/>
        <v>0</v>
      </c>
      <c r="J272" s="1580">
        <f t="shared" si="136"/>
        <v>0</v>
      </c>
      <c r="O272" s="584"/>
      <c r="P272" s="601"/>
      <c r="Q272" s="601"/>
      <c r="R272" s="601"/>
      <c r="S272" s="601"/>
      <c r="T272" s="584"/>
      <c r="U272" s="584"/>
      <c r="V272" s="584"/>
      <c r="W272" s="584"/>
      <c r="X272" s="584"/>
      <c r="Y272" s="584"/>
      <c r="Z272" s="584"/>
      <c r="AA272" s="584"/>
      <c r="AB272" s="584"/>
    </row>
    <row r="273" spans="1:28" ht="15.75" hidden="1" outlineLevel="1">
      <c r="A273" s="584">
        <f t="shared" si="139"/>
        <v>6</v>
      </c>
      <c r="B273" t="str">
        <f>+$B$35</f>
        <v xml:space="preserve">White Pine </v>
      </c>
      <c r="C273" s="725"/>
      <c r="D273" s="725">
        <f t="shared" si="137"/>
        <v>0</v>
      </c>
      <c r="E273" s="1591" t="e">
        <f t="shared" ref="E273:I273" si="143">+E286+E296</f>
        <v>#VALUE!</v>
      </c>
      <c r="F273" s="1591">
        <f t="shared" si="143"/>
        <v>0</v>
      </c>
      <c r="G273" s="1591">
        <f t="shared" si="143"/>
        <v>0</v>
      </c>
      <c r="H273" s="1591">
        <f t="shared" si="143"/>
        <v>0</v>
      </c>
      <c r="I273" s="1591">
        <f t="shared" si="143"/>
        <v>0</v>
      </c>
      <c r="J273" s="1591" t="e">
        <f t="shared" si="136"/>
        <v>#VALUE!</v>
      </c>
      <c r="O273" s="584"/>
      <c r="P273" s="601"/>
      <c r="Q273" s="601"/>
      <c r="R273" s="601"/>
      <c r="S273" s="601"/>
      <c r="T273" s="584"/>
      <c r="U273" s="584"/>
      <c r="V273" s="584"/>
      <c r="W273" s="584"/>
      <c r="X273" s="584"/>
      <c r="Y273" s="584"/>
      <c r="Z273" s="584"/>
      <c r="AA273" s="584"/>
      <c r="AB273" s="584"/>
    </row>
    <row r="274" spans="1:28" ht="15.75" hidden="1" outlineLevel="1">
      <c r="A274" s="584"/>
      <c r="B274" s="1592" t="s">
        <v>421</v>
      </c>
      <c r="C274" s="1592"/>
      <c r="D274" s="1592"/>
      <c r="E274" s="1622" t="e">
        <f>SUM(E268:E273)</f>
        <v>#VALUE!</v>
      </c>
      <c r="F274" s="1622" t="e">
        <f>SUM(F268:F273)</f>
        <v>#VALUE!</v>
      </c>
      <c r="G274" s="1622" t="e">
        <f t="shared" ref="G274" si="144">SUM(G268:G273)</f>
        <v>#VALUE!</v>
      </c>
      <c r="H274" s="1622" t="e">
        <f t="shared" ref="H274" si="145">SUM(H268:H273)</f>
        <v>#VALUE!</v>
      </c>
      <c r="I274" s="1622" t="e">
        <f t="shared" ref="I274" si="146">SUM(I268:I273)</f>
        <v>#VALUE!</v>
      </c>
      <c r="J274" s="1624" t="e">
        <f t="shared" si="136"/>
        <v>#VALUE!</v>
      </c>
      <c r="O274" s="584"/>
      <c r="P274" s="601"/>
      <c r="Q274" s="601"/>
      <c r="R274" s="601"/>
      <c r="S274" s="601"/>
      <c r="T274" s="584"/>
      <c r="U274" s="584"/>
      <c r="V274" s="584"/>
      <c r="W274" s="584"/>
      <c r="X274" s="584"/>
      <c r="Y274" s="584"/>
      <c r="Z274" s="584"/>
      <c r="AA274" s="584"/>
      <c r="AB274" s="584"/>
    </row>
    <row r="275" spans="1:28" ht="15.75" hidden="1" outlineLevel="1">
      <c r="A275" s="584"/>
      <c r="B275" s="1" t="s">
        <v>420</v>
      </c>
      <c r="E275" s="1585" t="str">
        <f>+E205</f>
        <v>General</v>
      </c>
      <c r="F275" s="1585" t="str">
        <f t="shared" ref="F275:I275" si="147">+F205</f>
        <v>SpEd</v>
      </c>
      <c r="G275" s="1585" t="str">
        <f t="shared" si="147"/>
        <v>EL</v>
      </c>
      <c r="H275" s="1585" t="str">
        <f t="shared" si="147"/>
        <v>AR</v>
      </c>
      <c r="I275" s="1585" t="str">
        <f t="shared" si="147"/>
        <v>G&amp;T</v>
      </c>
      <c r="J275" s="1585">
        <f t="shared" si="136"/>
        <v>0</v>
      </c>
      <c r="O275" s="584"/>
      <c r="P275" s="601"/>
      <c r="Q275" s="601"/>
      <c r="R275" s="601"/>
      <c r="S275" s="601"/>
      <c r="T275" s="584"/>
      <c r="U275" s="584"/>
      <c r="V275" s="584"/>
      <c r="W275" s="584"/>
      <c r="X275" s="584"/>
      <c r="Y275" s="584"/>
      <c r="Z275" s="584"/>
      <c r="AA275" s="584"/>
      <c r="AB275" s="584"/>
    </row>
    <row r="276" spans="1:28" ht="15.75" hidden="1" outlineLevel="1">
      <c r="A276" s="584"/>
      <c r="B276" s="1592" t="s">
        <v>1186</v>
      </c>
      <c r="C276" s="1604"/>
      <c r="D276" s="1604"/>
      <c r="E276" s="1626" t="e">
        <f t="shared" ref="E276" si="148">+E274/E275</f>
        <v>#VALUE!</v>
      </c>
      <c r="F276" s="1626" t="e">
        <f t="shared" ref="F276" si="149">+F274/F275</f>
        <v>#VALUE!</v>
      </c>
      <c r="G276" s="1626" t="e">
        <f t="shared" ref="G276" si="150">+G274/G275</f>
        <v>#VALUE!</v>
      </c>
      <c r="H276" s="1626" t="e">
        <f t="shared" ref="H276" si="151">+H274/H275</f>
        <v>#VALUE!</v>
      </c>
      <c r="I276" s="1626" t="e">
        <f t="shared" ref="I276" si="152">+I274/I275</f>
        <v>#VALUE!</v>
      </c>
      <c r="J276" s="1626" t="e">
        <f>+J274/J275</f>
        <v>#VALUE!</v>
      </c>
      <c r="O276" s="584"/>
      <c r="P276" s="601"/>
      <c r="Q276" s="601"/>
      <c r="R276" s="601"/>
      <c r="S276" s="601"/>
      <c r="T276" s="584"/>
      <c r="U276" s="584"/>
      <c r="V276" s="584"/>
      <c r="W276" s="584"/>
      <c r="X276" s="584"/>
      <c r="Y276" s="584"/>
      <c r="Z276" s="584"/>
      <c r="AA276" s="584"/>
      <c r="AB276" s="584"/>
    </row>
    <row r="277" spans="1:28" ht="15.75" hidden="1" outlineLevel="1">
      <c r="A277" s="584"/>
      <c r="B277" s="1"/>
      <c r="J277" s="1585"/>
      <c r="O277" s="584"/>
      <c r="P277" s="601"/>
      <c r="Q277" s="601"/>
      <c r="R277" s="601"/>
      <c r="S277" s="601"/>
      <c r="T277" s="584"/>
      <c r="U277" s="584"/>
      <c r="V277" s="584"/>
      <c r="W277" s="584"/>
      <c r="X277" s="584"/>
      <c r="Y277" s="584"/>
      <c r="Z277" s="584"/>
      <c r="AA277" s="584"/>
      <c r="AB277" s="584"/>
    </row>
    <row r="278" spans="1:28" ht="15.75" hidden="1" outlineLevel="1">
      <c r="A278" s="584"/>
      <c r="E278" s="1509" t="s">
        <v>1187</v>
      </c>
      <c r="F278" s="1504"/>
      <c r="G278" s="1509"/>
      <c r="H278" s="1509"/>
      <c r="I278" s="1509"/>
      <c r="J278" s="636"/>
      <c r="O278" s="584"/>
      <c r="P278" s="601"/>
      <c r="Q278" s="601"/>
      <c r="R278" s="601"/>
      <c r="S278" s="601"/>
      <c r="T278" s="584"/>
      <c r="U278" s="584"/>
      <c r="V278" s="584"/>
      <c r="W278" s="584"/>
      <c r="X278" s="584"/>
      <c r="Y278" s="584"/>
      <c r="Z278" s="584"/>
      <c r="AA278" s="584"/>
      <c r="AB278" s="584"/>
    </row>
    <row r="279" spans="1:28" ht="15.75" hidden="1" outlineLevel="1">
      <c r="A279" s="584"/>
      <c r="E279" s="1570" t="s">
        <v>504</v>
      </c>
      <c r="F279" s="1570" t="s">
        <v>1162</v>
      </c>
      <c r="G279" s="1570" t="s">
        <v>1163</v>
      </c>
      <c r="H279" s="1570" t="s">
        <v>1152</v>
      </c>
      <c r="I279" s="1570" t="s">
        <v>1164</v>
      </c>
      <c r="J279" s="1581"/>
      <c r="O279" s="584"/>
      <c r="P279" s="601"/>
      <c r="Q279" s="601"/>
      <c r="R279" s="601"/>
      <c r="S279" s="601"/>
      <c r="T279" s="584"/>
      <c r="U279" s="584"/>
      <c r="V279" s="584"/>
      <c r="W279" s="584"/>
      <c r="X279" s="584"/>
      <c r="Y279" s="584"/>
      <c r="Z279" s="584"/>
      <c r="AA279" s="584"/>
      <c r="AB279" s="584"/>
    </row>
    <row r="280" spans="1:28" ht="15.75" hidden="1" outlineLevel="1">
      <c r="A280" s="584"/>
      <c r="B280" s="1570" t="s">
        <v>1181</v>
      </c>
      <c r="C280" s="1570"/>
      <c r="D280" s="1570"/>
      <c r="E280" s="1632">
        <v>0</v>
      </c>
      <c r="F280" s="1631">
        <f>+F209</f>
        <v>9434.4897240000009</v>
      </c>
      <c r="G280" s="1631">
        <f t="shared" ref="G280:I280" si="153">+G209</f>
        <v>3430.723536</v>
      </c>
      <c r="H280" s="1631">
        <f t="shared" si="153"/>
        <v>643.26066299999991</v>
      </c>
      <c r="I280" s="1631">
        <f t="shared" si="153"/>
        <v>857.68088399999999</v>
      </c>
      <c r="J280" s="1570" t="s">
        <v>123</v>
      </c>
      <c r="O280" s="584"/>
      <c r="P280" s="601"/>
      <c r="Q280" s="601"/>
      <c r="R280" s="601"/>
      <c r="S280" s="601"/>
      <c r="T280" s="584"/>
      <c r="U280" s="584"/>
      <c r="V280" s="584"/>
      <c r="W280" s="584"/>
      <c r="X280" s="584"/>
      <c r="Y280" s="584"/>
      <c r="Z280" s="584"/>
      <c r="AA280" s="584"/>
      <c r="AB280" s="584"/>
    </row>
    <row r="281" spans="1:28" ht="15.75" hidden="1" outlineLevel="1">
      <c r="A281" s="584">
        <v>1</v>
      </c>
      <c r="B281" t="str">
        <f>+B$30</f>
        <v xml:space="preserve">Carson City </v>
      </c>
      <c r="C281" s="766"/>
      <c r="D281" s="766">
        <f>E177</f>
        <v>0</v>
      </c>
      <c r="E281" s="1583"/>
      <c r="F281" s="1617">
        <f t="shared" ref="F281:I286" si="154">F$206*F210*$D281</f>
        <v>0</v>
      </c>
      <c r="G281" s="1617">
        <f t="shared" si="154"/>
        <v>0</v>
      </c>
      <c r="H281" s="1617">
        <f t="shared" si="154"/>
        <v>0</v>
      </c>
      <c r="I281" s="1617">
        <f t="shared" si="154"/>
        <v>0</v>
      </c>
      <c r="J281" s="1621">
        <f t="shared" ref="J281:J287" si="155">SUM(E281:I281)</f>
        <v>0</v>
      </c>
      <c r="O281" s="584"/>
      <c r="P281" s="601"/>
      <c r="Q281" s="601"/>
      <c r="R281" s="601"/>
      <c r="S281" s="601"/>
      <c r="T281" s="584"/>
      <c r="U281" s="584"/>
      <c r="V281" s="584"/>
      <c r="W281" s="584"/>
      <c r="X281" s="584"/>
      <c r="Y281" s="584"/>
      <c r="Z281" s="584"/>
      <c r="AA281" s="584"/>
      <c r="AB281" s="584"/>
    </row>
    <row r="282" spans="1:28" ht="15.75" hidden="1" outlineLevel="1">
      <c r="A282" s="584">
        <f>1+A281</f>
        <v>2</v>
      </c>
      <c r="B282" t="str">
        <f>+$B$31</f>
        <v xml:space="preserve">Churchill </v>
      </c>
      <c r="C282" s="725"/>
      <c r="D282" s="725">
        <f t="shared" ref="D282:D286" si="156">E178</f>
        <v>0</v>
      </c>
      <c r="E282" s="1583"/>
      <c r="F282" s="1618">
        <f t="shared" si="154"/>
        <v>0</v>
      </c>
      <c r="G282" s="1618">
        <f t="shared" si="154"/>
        <v>0</v>
      </c>
      <c r="H282" s="1618">
        <f t="shared" si="154"/>
        <v>0</v>
      </c>
      <c r="I282" s="1618">
        <f t="shared" si="154"/>
        <v>0</v>
      </c>
      <c r="J282" s="1580">
        <f t="shared" si="155"/>
        <v>0</v>
      </c>
      <c r="O282" s="584"/>
      <c r="P282" s="601"/>
      <c r="Q282" s="601"/>
      <c r="R282" s="601"/>
      <c r="S282" s="601"/>
      <c r="T282" s="584"/>
      <c r="U282" s="584"/>
      <c r="V282" s="584"/>
      <c r="W282" s="584"/>
      <c r="X282" s="584"/>
      <c r="Y282" s="584"/>
      <c r="Z282" s="584"/>
      <c r="AA282" s="584"/>
      <c r="AB282" s="584"/>
    </row>
    <row r="283" spans="1:28" ht="15.75" hidden="1" outlineLevel="1">
      <c r="A283" s="584">
        <f t="shared" ref="A283:A286" si="157">1+A282</f>
        <v>3</v>
      </c>
      <c r="B283" t="str">
        <f>+$B$32</f>
        <v xml:space="preserve">Clark </v>
      </c>
      <c r="C283" s="725"/>
      <c r="D283" s="725" t="str">
        <f t="shared" si="156"/>
        <v>General</v>
      </c>
      <c r="E283" s="1583"/>
      <c r="F283" s="1618" t="e">
        <f t="shared" si="154"/>
        <v>#VALUE!</v>
      </c>
      <c r="G283" s="1618" t="e">
        <f t="shared" si="154"/>
        <v>#VALUE!</v>
      </c>
      <c r="H283" s="1618" t="e">
        <f t="shared" si="154"/>
        <v>#VALUE!</v>
      </c>
      <c r="I283" s="1618" t="e">
        <f t="shared" si="154"/>
        <v>#VALUE!</v>
      </c>
      <c r="J283" s="1580" t="e">
        <f t="shared" si="155"/>
        <v>#VALUE!</v>
      </c>
      <c r="O283" s="584"/>
      <c r="P283" s="601"/>
      <c r="Q283" s="601"/>
      <c r="R283" s="601"/>
      <c r="S283" s="601"/>
      <c r="T283" s="584"/>
      <c r="U283" s="584"/>
      <c r="V283" s="584"/>
      <c r="W283" s="584"/>
      <c r="X283" s="584"/>
      <c r="Y283" s="584"/>
      <c r="Z283" s="584"/>
      <c r="AA283" s="584"/>
      <c r="AB283" s="584"/>
    </row>
    <row r="284" spans="1:28" ht="15.75" hidden="1" outlineLevel="1">
      <c r="A284" s="584">
        <f t="shared" si="157"/>
        <v>4</v>
      </c>
      <c r="B284" t="str">
        <f>+$B$33</f>
        <v xml:space="preserve">Elko </v>
      </c>
      <c r="C284" s="725"/>
      <c r="D284" s="725">
        <f t="shared" si="156"/>
        <v>100</v>
      </c>
      <c r="E284" s="1583"/>
      <c r="F284" s="1618">
        <f t="shared" si="154"/>
        <v>2069790.9748559999</v>
      </c>
      <c r="G284" s="1618">
        <f t="shared" si="154"/>
        <v>547382.73715199984</v>
      </c>
      <c r="H284" s="1618">
        <f t="shared" si="154"/>
        <v>12829.282901999999</v>
      </c>
      <c r="I284" s="1618">
        <f t="shared" si="154"/>
        <v>68422.84214399998</v>
      </c>
      <c r="J284" s="1580">
        <f t="shared" si="155"/>
        <v>2698425.8370539998</v>
      </c>
      <c r="O284" s="584"/>
      <c r="P284" s="601"/>
      <c r="Q284" s="601"/>
      <c r="R284" s="601"/>
      <c r="S284" s="601"/>
      <c r="T284" s="584"/>
      <c r="U284" s="584"/>
      <c r="V284" s="584"/>
      <c r="W284" s="584"/>
      <c r="X284" s="584"/>
      <c r="Y284" s="584"/>
      <c r="Z284" s="584"/>
      <c r="AA284" s="584"/>
      <c r="AB284" s="584"/>
    </row>
    <row r="285" spans="1:28" ht="15.75" hidden="1" outlineLevel="1">
      <c r="A285" s="584">
        <f t="shared" si="157"/>
        <v>5</v>
      </c>
      <c r="B285" t="str">
        <f>+$B$34</f>
        <v xml:space="preserve">Washoe </v>
      </c>
      <c r="C285" s="725"/>
      <c r="D285" s="725">
        <f t="shared" si="156"/>
        <v>0</v>
      </c>
      <c r="E285" s="1583"/>
      <c r="F285" s="1618">
        <f t="shared" si="154"/>
        <v>0</v>
      </c>
      <c r="G285" s="1618">
        <f t="shared" si="154"/>
        <v>0</v>
      </c>
      <c r="H285" s="1618">
        <f t="shared" si="154"/>
        <v>0</v>
      </c>
      <c r="I285" s="1618">
        <f t="shared" si="154"/>
        <v>0</v>
      </c>
      <c r="J285" s="1580">
        <f t="shared" si="155"/>
        <v>0</v>
      </c>
      <c r="O285" s="584"/>
      <c r="P285" s="601"/>
      <c r="Q285" s="601"/>
      <c r="R285" s="601"/>
      <c r="S285" s="601"/>
      <c r="T285" s="584"/>
      <c r="U285" s="584"/>
      <c r="V285" s="584"/>
      <c r="W285" s="584"/>
      <c r="X285" s="584"/>
      <c r="Y285" s="584"/>
      <c r="Z285" s="584"/>
      <c r="AA285" s="584"/>
      <c r="AB285" s="584"/>
    </row>
    <row r="286" spans="1:28" ht="15.75" hidden="1" outlineLevel="1">
      <c r="A286" s="584">
        <f t="shared" si="157"/>
        <v>6</v>
      </c>
      <c r="B286" t="str">
        <f>+$B$35</f>
        <v xml:space="preserve">White Pine </v>
      </c>
      <c r="C286" s="725"/>
      <c r="D286" s="725">
        <f t="shared" si="156"/>
        <v>0</v>
      </c>
      <c r="E286" s="1583"/>
      <c r="F286" s="1619">
        <f t="shared" si="154"/>
        <v>0</v>
      </c>
      <c r="G286" s="1619">
        <f t="shared" si="154"/>
        <v>0</v>
      </c>
      <c r="H286" s="1619">
        <f t="shared" si="154"/>
        <v>0</v>
      </c>
      <c r="I286" s="1619">
        <f t="shared" si="154"/>
        <v>0</v>
      </c>
      <c r="J286" s="1591">
        <f t="shared" si="155"/>
        <v>0</v>
      </c>
      <c r="O286" s="584"/>
      <c r="P286" s="601"/>
      <c r="Q286" s="601"/>
      <c r="R286" s="601"/>
      <c r="S286" s="601"/>
      <c r="T286" s="584"/>
      <c r="U286" s="584"/>
      <c r="V286" s="584"/>
      <c r="W286" s="584"/>
      <c r="X286" s="584"/>
      <c r="Y286" s="584"/>
      <c r="Z286" s="584"/>
      <c r="AA286" s="584"/>
      <c r="AB286" s="584"/>
    </row>
    <row r="287" spans="1:28" ht="15.75" hidden="1" outlineLevel="1">
      <c r="A287" s="584"/>
      <c r="B287" s="1592" t="s">
        <v>123</v>
      </c>
      <c r="C287" s="1592"/>
      <c r="D287" s="1592"/>
      <c r="E287" s="1627"/>
      <c r="F287" s="1626" t="e">
        <f t="shared" ref="F287" si="158">SUM(F281:F286)</f>
        <v>#VALUE!</v>
      </c>
      <c r="G287" s="1626" t="e">
        <f t="shared" ref="G287" si="159">SUM(G281:G286)</f>
        <v>#VALUE!</v>
      </c>
      <c r="H287" s="1626" t="e">
        <f t="shared" ref="H287" si="160">SUM(H281:H286)</f>
        <v>#VALUE!</v>
      </c>
      <c r="I287" s="1626" t="e">
        <f t="shared" ref="I287" si="161">SUM(I281:I286)</f>
        <v>#VALUE!</v>
      </c>
      <c r="J287" s="1622" t="e">
        <f t="shared" si="155"/>
        <v>#VALUE!</v>
      </c>
      <c r="O287" s="584"/>
      <c r="P287" s="601"/>
      <c r="Q287" s="601"/>
      <c r="R287" s="601"/>
      <c r="S287" s="601"/>
      <c r="T287" s="584"/>
      <c r="U287" s="584"/>
      <c r="V287" s="584"/>
      <c r="W287" s="584"/>
      <c r="X287" s="584"/>
      <c r="Y287" s="584"/>
      <c r="Z287" s="584"/>
      <c r="AA287" s="584"/>
      <c r="AB287" s="584"/>
    </row>
    <row r="288" spans="1:28" ht="15.75" hidden="1" outlineLevel="1">
      <c r="A288" s="584"/>
      <c r="O288" s="584"/>
      <c r="P288" s="601"/>
      <c r="Q288" s="601"/>
      <c r="R288" s="601"/>
      <c r="S288" s="601"/>
      <c r="T288" s="584"/>
      <c r="U288" s="584"/>
      <c r="V288" s="584"/>
      <c r="W288" s="584"/>
      <c r="X288" s="584"/>
      <c r="Y288" s="584"/>
      <c r="Z288" s="584"/>
      <c r="AA288" s="584"/>
      <c r="AB288" s="584"/>
    </row>
    <row r="289" spans="1:28" ht="15.75" hidden="1" outlineLevel="1">
      <c r="A289" s="584"/>
      <c r="E289" s="1509" t="s">
        <v>1188</v>
      </c>
      <c r="F289" s="1"/>
      <c r="G289" s="636"/>
      <c r="H289" s="636"/>
      <c r="I289" s="636"/>
      <c r="O289" s="584"/>
      <c r="P289" s="601"/>
      <c r="Q289" s="601"/>
      <c r="R289" s="601"/>
      <c r="S289" s="601"/>
      <c r="T289" s="584"/>
      <c r="U289" s="584"/>
      <c r="V289" s="584"/>
      <c r="W289" s="584"/>
      <c r="X289" s="584"/>
      <c r="Y289" s="584"/>
      <c r="Z289" s="584"/>
      <c r="AA289" s="584"/>
      <c r="AB289" s="584"/>
    </row>
    <row r="290" spans="1:28" ht="15.75" hidden="1" outlineLevel="1">
      <c r="A290" s="584"/>
      <c r="E290" s="1570" t="s">
        <v>504</v>
      </c>
      <c r="F290" s="1593" t="s">
        <v>1162</v>
      </c>
      <c r="G290" s="1570" t="s">
        <v>1163</v>
      </c>
      <c r="H290" s="1570" t="s">
        <v>1152</v>
      </c>
      <c r="I290" s="1570" t="s">
        <v>1164</v>
      </c>
      <c r="J290" s="1593" t="s">
        <v>123</v>
      </c>
      <c r="O290" s="584"/>
      <c r="P290" s="601"/>
      <c r="Q290" s="601"/>
      <c r="R290" s="601"/>
      <c r="S290" s="601"/>
      <c r="T290" s="584"/>
      <c r="U290" s="584"/>
      <c r="V290" s="584"/>
      <c r="W290" s="584"/>
      <c r="X290" s="584"/>
      <c r="Y290" s="584"/>
      <c r="Z290" s="584"/>
      <c r="AA290" s="584"/>
      <c r="AB290" s="584"/>
    </row>
    <row r="291" spans="1:28" ht="15.75" hidden="1" outlineLevel="1">
      <c r="A291" s="584">
        <v>1</v>
      </c>
      <c r="B291" t="str">
        <f>+B$30</f>
        <v xml:space="preserve">Carson City </v>
      </c>
      <c r="C291" s="766"/>
      <c r="D291" s="766">
        <f>E177</f>
        <v>0</v>
      </c>
      <c r="E291" s="1594">
        <f t="shared" ref="E291:I296" si="162">+$E177*E199</f>
        <v>0</v>
      </c>
      <c r="F291" s="1594">
        <f t="shared" si="162"/>
        <v>0</v>
      </c>
      <c r="G291" s="1594">
        <f t="shared" si="162"/>
        <v>0</v>
      </c>
      <c r="H291" s="1594">
        <f t="shared" si="162"/>
        <v>0</v>
      </c>
      <c r="I291" s="1594">
        <f t="shared" si="162"/>
        <v>0</v>
      </c>
      <c r="J291" s="1625">
        <f t="shared" ref="J291:J297" si="163">SUM(E291:I291)</f>
        <v>0</v>
      </c>
      <c r="O291" s="584"/>
      <c r="P291" s="601"/>
      <c r="Q291" s="601"/>
      <c r="R291" s="601"/>
      <c r="S291" s="601"/>
      <c r="T291" s="584"/>
      <c r="U291" s="584"/>
      <c r="V291" s="584"/>
      <c r="W291" s="584"/>
      <c r="X291" s="584"/>
      <c r="Y291" s="584"/>
      <c r="Z291" s="584"/>
      <c r="AA291" s="584"/>
      <c r="AB291" s="584"/>
    </row>
    <row r="292" spans="1:28" ht="15.75" hidden="1" outlineLevel="1">
      <c r="A292" s="584">
        <f>1+A291</f>
        <v>2</v>
      </c>
      <c r="B292" t="str">
        <f>+$B$31</f>
        <v xml:space="preserve">Churchill </v>
      </c>
      <c r="C292" s="725"/>
      <c r="D292" s="725">
        <f t="shared" ref="D292:D296" si="164">E178</f>
        <v>0</v>
      </c>
      <c r="E292" s="1595">
        <f t="shared" si="162"/>
        <v>0</v>
      </c>
      <c r="F292" s="1595">
        <f t="shared" si="162"/>
        <v>0</v>
      </c>
      <c r="G292" s="1595">
        <f t="shared" si="162"/>
        <v>0</v>
      </c>
      <c r="H292" s="1595">
        <f t="shared" si="162"/>
        <v>0</v>
      </c>
      <c r="I292" s="1595">
        <f t="shared" si="162"/>
        <v>0</v>
      </c>
      <c r="J292" s="1585">
        <f t="shared" si="163"/>
        <v>0</v>
      </c>
      <c r="O292" s="584"/>
      <c r="P292" s="601"/>
      <c r="Q292" s="601"/>
      <c r="R292" s="601"/>
      <c r="S292" s="601"/>
      <c r="T292" s="584"/>
      <c r="U292" s="584"/>
      <c r="V292" s="584"/>
      <c r="W292" s="584"/>
      <c r="X292" s="584"/>
      <c r="Y292" s="584"/>
      <c r="Z292" s="584"/>
      <c r="AA292" s="584"/>
      <c r="AB292" s="584"/>
    </row>
    <row r="293" spans="1:28" ht="15.75" hidden="1" outlineLevel="1">
      <c r="A293" s="584">
        <f t="shared" ref="A293:A296" si="165">1+A292</f>
        <v>3</v>
      </c>
      <c r="B293" t="str">
        <f>+$B$32</f>
        <v xml:space="preserve">Clark </v>
      </c>
      <c r="C293" s="725"/>
      <c r="D293" s="725" t="str">
        <f t="shared" si="164"/>
        <v>General</v>
      </c>
      <c r="E293" s="1595" t="e">
        <f t="shared" si="162"/>
        <v>#VALUE!</v>
      </c>
      <c r="F293" s="1595" t="e">
        <f t="shared" si="162"/>
        <v>#VALUE!</v>
      </c>
      <c r="G293" s="1595" t="e">
        <f t="shared" si="162"/>
        <v>#VALUE!</v>
      </c>
      <c r="H293" s="1595" t="e">
        <f t="shared" si="162"/>
        <v>#VALUE!</v>
      </c>
      <c r="I293" s="1595" t="e">
        <f t="shared" si="162"/>
        <v>#VALUE!</v>
      </c>
      <c r="J293" s="1585" t="e">
        <f t="shared" si="163"/>
        <v>#VALUE!</v>
      </c>
      <c r="O293" s="584"/>
      <c r="P293" s="601"/>
      <c r="Q293" s="601"/>
      <c r="R293" s="601"/>
      <c r="S293" s="601"/>
      <c r="T293" s="584"/>
      <c r="U293" s="584"/>
      <c r="V293" s="584"/>
      <c r="W293" s="584"/>
      <c r="X293" s="584"/>
      <c r="Y293" s="584"/>
      <c r="Z293" s="584"/>
      <c r="AA293" s="584"/>
      <c r="AB293" s="584"/>
    </row>
    <row r="294" spans="1:28" ht="15.75" hidden="1" outlineLevel="1">
      <c r="A294" s="584">
        <f t="shared" si="165"/>
        <v>4</v>
      </c>
      <c r="B294" t="str">
        <f>+$B$33</f>
        <v xml:space="preserve">Elko </v>
      </c>
      <c r="C294" s="725"/>
      <c r="D294" s="725">
        <f t="shared" si="164"/>
        <v>100</v>
      </c>
      <c r="E294" s="1595">
        <f t="shared" si="162"/>
        <v>791931.04333333322</v>
      </c>
      <c r="F294" s="1595">
        <f t="shared" si="162"/>
        <v>1053268.2876333334</v>
      </c>
      <c r="G294" s="1595">
        <f t="shared" si="162"/>
        <v>867956.42349333316</v>
      </c>
      <c r="H294" s="1595">
        <f t="shared" si="162"/>
        <v>806185.80211333337</v>
      </c>
      <c r="I294" s="1595">
        <f t="shared" si="162"/>
        <v>886962.76853333332</v>
      </c>
      <c r="J294" s="1585">
        <f t="shared" si="163"/>
        <v>4406304.3251066664</v>
      </c>
      <c r="O294" s="584"/>
      <c r="P294" s="601"/>
      <c r="Q294" s="601"/>
      <c r="R294" s="601"/>
      <c r="S294" s="601"/>
      <c r="T294" s="584"/>
      <c r="U294" s="584"/>
      <c r="V294" s="584"/>
      <c r="W294" s="584"/>
      <c r="X294" s="584"/>
      <c r="Y294" s="584"/>
      <c r="Z294" s="584"/>
      <c r="AA294" s="584"/>
      <c r="AB294" s="584"/>
    </row>
    <row r="295" spans="1:28" ht="15.75" hidden="1" outlineLevel="1">
      <c r="A295" s="584">
        <f t="shared" si="165"/>
        <v>5</v>
      </c>
      <c r="B295" t="str">
        <f>+$B$34</f>
        <v xml:space="preserve">Washoe </v>
      </c>
      <c r="C295" s="725"/>
      <c r="D295" s="725">
        <f t="shared" si="164"/>
        <v>0</v>
      </c>
      <c r="E295" s="1595">
        <f t="shared" si="162"/>
        <v>0</v>
      </c>
      <c r="F295" s="1595">
        <f t="shared" si="162"/>
        <v>0</v>
      </c>
      <c r="G295" s="1595">
        <f t="shared" si="162"/>
        <v>0</v>
      </c>
      <c r="H295" s="1595">
        <f t="shared" si="162"/>
        <v>0</v>
      </c>
      <c r="I295" s="1595">
        <f t="shared" si="162"/>
        <v>0</v>
      </c>
      <c r="J295" s="1585">
        <f t="shared" si="163"/>
        <v>0</v>
      </c>
      <c r="O295" s="584"/>
      <c r="P295" s="601"/>
      <c r="Q295" s="601"/>
      <c r="R295" s="601"/>
      <c r="S295" s="601"/>
      <c r="T295" s="584"/>
      <c r="U295" s="584"/>
      <c r="V295" s="584"/>
      <c r="W295" s="584"/>
      <c r="X295" s="584"/>
      <c r="Y295" s="584"/>
      <c r="Z295" s="584"/>
      <c r="AA295" s="584"/>
      <c r="AB295" s="584"/>
    </row>
    <row r="296" spans="1:28" ht="15.75" hidden="1" outlineLevel="1">
      <c r="A296" s="584">
        <f t="shared" si="165"/>
        <v>6</v>
      </c>
      <c r="B296" t="str">
        <f>+$B$35</f>
        <v xml:space="preserve">White Pine </v>
      </c>
      <c r="C296" s="725"/>
      <c r="D296" s="725">
        <f t="shared" si="164"/>
        <v>0</v>
      </c>
      <c r="E296" s="1596" t="e">
        <f t="shared" si="162"/>
        <v>#VALUE!</v>
      </c>
      <c r="F296" s="1596">
        <f t="shared" si="162"/>
        <v>0</v>
      </c>
      <c r="G296" s="1596">
        <f t="shared" si="162"/>
        <v>0</v>
      </c>
      <c r="H296" s="1596">
        <f t="shared" si="162"/>
        <v>0</v>
      </c>
      <c r="I296" s="1596">
        <f t="shared" si="162"/>
        <v>0</v>
      </c>
      <c r="J296" s="1585" t="e">
        <f t="shared" si="163"/>
        <v>#VALUE!</v>
      </c>
      <c r="O296" s="584"/>
      <c r="P296" s="601"/>
      <c r="Q296" s="601"/>
      <c r="R296" s="601"/>
      <c r="S296" s="601"/>
      <c r="T296" s="584"/>
      <c r="U296" s="584"/>
      <c r="V296" s="584"/>
      <c r="W296" s="584"/>
      <c r="X296" s="584"/>
      <c r="Y296" s="584"/>
      <c r="Z296" s="584"/>
      <c r="AA296" s="584"/>
      <c r="AB296" s="584"/>
    </row>
    <row r="297" spans="1:28" ht="15.75" hidden="1" outlineLevel="1">
      <c r="A297" s="584"/>
      <c r="B297" s="1592" t="s">
        <v>123</v>
      </c>
      <c r="C297" s="1592"/>
      <c r="D297" s="1592"/>
      <c r="E297" s="1626" t="e">
        <f>SUM(E291:E296)</f>
        <v>#VALUE!</v>
      </c>
      <c r="F297" s="1626" t="e">
        <f t="shared" ref="F297" si="166">SUM(F291:F296)</f>
        <v>#VALUE!</v>
      </c>
      <c r="G297" s="1626" t="e">
        <f t="shared" ref="G297" si="167">SUM(G291:G296)</f>
        <v>#VALUE!</v>
      </c>
      <c r="H297" s="1626" t="e">
        <f t="shared" ref="H297" si="168">SUM(H291:H296)</f>
        <v>#VALUE!</v>
      </c>
      <c r="I297" s="1626" t="e">
        <f t="shared" ref="I297" si="169">SUM(I291:I296)</f>
        <v>#VALUE!</v>
      </c>
      <c r="J297" s="1626" t="e">
        <f t="shared" si="163"/>
        <v>#VALUE!</v>
      </c>
      <c r="O297" s="584"/>
      <c r="P297" s="601"/>
      <c r="Q297" s="601"/>
      <c r="R297" s="601"/>
      <c r="S297" s="601"/>
      <c r="T297" s="584"/>
      <c r="U297" s="584"/>
      <c r="V297" s="584"/>
      <c r="W297" s="584"/>
      <c r="X297" s="584"/>
      <c r="Y297" s="584"/>
      <c r="Z297" s="584"/>
      <c r="AA297" s="584"/>
      <c r="AB297" s="584"/>
    </row>
    <row r="298" spans="1:28" ht="15.75" hidden="1" outlineLevel="1">
      <c r="A298" s="584"/>
      <c r="O298" s="584"/>
      <c r="P298" s="601"/>
      <c r="Q298" s="601"/>
      <c r="R298" s="601"/>
      <c r="S298" s="601"/>
      <c r="T298" s="584"/>
      <c r="U298" s="584"/>
      <c r="V298" s="584"/>
      <c r="W298" s="584"/>
      <c r="X298" s="584"/>
      <c r="Y298" s="584"/>
      <c r="Z298" s="584"/>
      <c r="AA298" s="584"/>
      <c r="AB298" s="584"/>
    </row>
    <row r="299" spans="1:28" ht="15.75" hidden="1" outlineLevel="1">
      <c r="A299" s="584"/>
      <c r="B299" s="1592" t="s">
        <v>1183</v>
      </c>
      <c r="C299" s="1592"/>
      <c r="D299" s="1592"/>
      <c r="E299" s="1626" t="e">
        <f>+E287+E297</f>
        <v>#VALUE!</v>
      </c>
      <c r="F299" s="1626" t="e">
        <f t="shared" ref="F299:I299" si="170">+F287+F297</f>
        <v>#VALUE!</v>
      </c>
      <c r="G299" s="1626" t="e">
        <f t="shared" si="170"/>
        <v>#VALUE!</v>
      </c>
      <c r="H299" s="1626" t="e">
        <f t="shared" si="170"/>
        <v>#VALUE!</v>
      </c>
      <c r="I299" s="1626" t="e">
        <f t="shared" si="170"/>
        <v>#VALUE!</v>
      </c>
      <c r="J299" s="1628" t="e">
        <f>SUM(E299:I299)</f>
        <v>#VALUE!</v>
      </c>
      <c r="O299" s="584"/>
      <c r="P299" s="601"/>
      <c r="Q299" s="601"/>
      <c r="R299" s="601"/>
      <c r="S299" s="601"/>
      <c r="T299" s="584"/>
      <c r="U299" s="584"/>
      <c r="V299" s="584"/>
      <c r="W299" s="584"/>
      <c r="X299" s="584"/>
      <c r="Y299" s="584"/>
      <c r="Z299" s="584"/>
      <c r="AA299" s="584"/>
      <c r="AB299" s="584"/>
    </row>
    <row r="300" spans="1:28" ht="15.75" hidden="1" outlineLevel="1">
      <c r="A300" s="584"/>
      <c r="O300" s="584"/>
      <c r="P300" s="601"/>
      <c r="Q300" s="601"/>
      <c r="R300" s="601"/>
      <c r="S300" s="601"/>
      <c r="T300" s="584"/>
      <c r="U300" s="584"/>
      <c r="V300" s="584"/>
      <c r="W300" s="584"/>
      <c r="X300" s="584"/>
      <c r="Y300" s="584"/>
      <c r="Z300" s="584"/>
      <c r="AA300" s="584"/>
      <c r="AB300" s="584"/>
    </row>
    <row r="301" spans="1:28" ht="15.75" hidden="1" outlineLevel="1">
      <c r="A301" s="584"/>
      <c r="O301" s="584"/>
      <c r="P301" s="601"/>
      <c r="Q301" s="601"/>
      <c r="R301" s="601"/>
      <c r="S301" s="601"/>
      <c r="T301" s="584"/>
      <c r="U301" s="584"/>
      <c r="V301" s="584"/>
      <c r="W301" s="584"/>
      <c r="X301" s="584"/>
      <c r="Y301" s="584"/>
      <c r="Z301" s="584"/>
      <c r="AA301" s="584"/>
      <c r="AB301" s="584"/>
    </row>
    <row r="302" spans="1:28" ht="15.75" hidden="1" outlineLevel="1">
      <c r="A302" s="584"/>
      <c r="O302" s="584"/>
      <c r="P302" s="601"/>
      <c r="Q302" s="601"/>
      <c r="R302" s="601"/>
      <c r="S302" s="601"/>
      <c r="T302" s="584"/>
      <c r="U302" s="584"/>
      <c r="V302" s="584"/>
      <c r="W302" s="584"/>
      <c r="X302" s="584"/>
      <c r="Y302" s="584"/>
      <c r="Z302" s="584"/>
      <c r="AA302" s="584"/>
      <c r="AB302" s="584"/>
    </row>
    <row r="303" spans="1:28" ht="15.75" collapsed="1">
      <c r="A303" s="584"/>
      <c r="O303" s="584"/>
      <c r="P303" s="601"/>
      <c r="Q303" s="601"/>
      <c r="R303" s="601"/>
      <c r="S303" s="601"/>
      <c r="T303" s="584"/>
      <c r="U303" s="584"/>
      <c r="V303" s="584"/>
      <c r="W303" s="584"/>
      <c r="X303" s="584"/>
      <c r="Y303" s="584"/>
      <c r="Z303" s="584"/>
      <c r="AA303" s="584"/>
      <c r="AB303" s="584"/>
    </row>
    <row r="304" spans="1:28" ht="15.75">
      <c r="A304" s="584"/>
      <c r="O304" s="584"/>
      <c r="P304" s="601"/>
      <c r="Q304" s="601"/>
      <c r="R304" s="601"/>
      <c r="S304" s="601"/>
      <c r="T304" s="584"/>
      <c r="U304" s="584"/>
      <c r="V304" s="584"/>
      <c r="W304" s="584"/>
      <c r="X304" s="584"/>
      <c r="Y304" s="584"/>
      <c r="Z304" s="584"/>
      <c r="AA304" s="584"/>
      <c r="AB304" s="584"/>
    </row>
    <row r="305" spans="1:28" ht="15.75">
      <c r="A305" s="584"/>
      <c r="O305" s="584"/>
      <c r="P305" s="601"/>
      <c r="Q305" s="601"/>
      <c r="R305" s="601"/>
      <c r="S305" s="601"/>
      <c r="T305" s="584"/>
      <c r="U305" s="584"/>
      <c r="V305" s="584"/>
      <c r="W305" s="584"/>
      <c r="X305" s="584"/>
      <c r="Y305" s="584"/>
      <c r="Z305" s="584"/>
      <c r="AA305" s="584"/>
      <c r="AB305" s="584"/>
    </row>
    <row r="306" spans="1:28" ht="15.75">
      <c r="A306" s="584"/>
      <c r="O306" s="584"/>
      <c r="P306" s="601"/>
      <c r="Q306" s="601"/>
      <c r="R306" s="601"/>
      <c r="S306" s="601"/>
      <c r="T306" s="584"/>
      <c r="U306" s="584"/>
      <c r="V306" s="584"/>
      <c r="W306" s="584"/>
      <c r="X306" s="584"/>
      <c r="Y306" s="584"/>
      <c r="Z306" s="584"/>
      <c r="AA306" s="584"/>
      <c r="AB306" s="584"/>
    </row>
    <row r="307" spans="1:28" ht="15.75">
      <c r="A307" s="584"/>
      <c r="O307" s="584"/>
      <c r="P307" s="601"/>
      <c r="Q307" s="601"/>
      <c r="R307" s="601"/>
      <c r="S307" s="601"/>
      <c r="T307" s="584"/>
      <c r="U307" s="584"/>
      <c r="V307" s="584"/>
      <c r="W307" s="584"/>
      <c r="X307" s="584"/>
      <c r="Y307" s="584"/>
      <c r="Z307" s="584"/>
      <c r="AA307" s="584"/>
      <c r="AB307" s="584"/>
    </row>
    <row r="308" spans="1:28" ht="15.75">
      <c r="A308" s="584"/>
      <c r="O308" s="584"/>
      <c r="P308" s="601"/>
      <c r="Q308" s="601"/>
      <c r="R308" s="601"/>
      <c r="S308" s="601"/>
      <c r="T308" s="584"/>
      <c r="U308" s="584"/>
      <c r="V308" s="584"/>
      <c r="W308" s="584"/>
      <c r="X308" s="584"/>
      <c r="Y308" s="584"/>
      <c r="Z308" s="584"/>
      <c r="AA308" s="584"/>
      <c r="AB308" s="584"/>
    </row>
    <row r="309" spans="1:28" ht="15.75">
      <c r="A309" s="584"/>
      <c r="O309" s="584"/>
      <c r="P309" s="601"/>
      <c r="Q309" s="601"/>
      <c r="R309" s="601"/>
      <c r="S309" s="601"/>
      <c r="T309" s="584"/>
      <c r="U309" s="584"/>
      <c r="V309" s="584"/>
      <c r="W309" s="584"/>
      <c r="X309" s="584"/>
      <c r="Y309" s="584"/>
      <c r="Z309" s="584"/>
      <c r="AA309" s="584"/>
      <c r="AB309" s="584"/>
    </row>
    <row r="310" spans="1:28" ht="15.75">
      <c r="A310" s="584"/>
      <c r="O310" s="584"/>
      <c r="P310" s="601"/>
      <c r="Q310" s="601"/>
      <c r="R310" s="601"/>
      <c r="S310" s="601"/>
      <c r="T310" s="584"/>
      <c r="U310" s="584"/>
      <c r="V310" s="584"/>
      <c r="W310" s="584"/>
      <c r="X310" s="584"/>
      <c r="Y310" s="584"/>
      <c r="Z310" s="584"/>
      <c r="AA310" s="584"/>
      <c r="AB310" s="584"/>
    </row>
    <row r="311" spans="1:28" ht="15.75">
      <c r="A311" s="584"/>
      <c r="O311" s="584"/>
      <c r="P311" s="601"/>
      <c r="Q311" s="601"/>
      <c r="R311" s="601"/>
      <c r="S311" s="601"/>
      <c r="T311" s="584"/>
      <c r="U311" s="584"/>
      <c r="V311" s="584"/>
      <c r="W311" s="584"/>
      <c r="X311" s="584"/>
      <c r="Y311" s="584"/>
      <c r="Z311" s="584"/>
      <c r="AA311" s="584"/>
      <c r="AB311" s="584"/>
    </row>
    <row r="312" spans="1:28" ht="15.75">
      <c r="A312" s="584"/>
      <c r="O312" s="584"/>
      <c r="P312" s="601"/>
      <c r="Q312" s="601"/>
      <c r="R312" s="601"/>
      <c r="S312" s="601"/>
      <c r="T312" s="584"/>
      <c r="U312" s="584"/>
      <c r="V312" s="584"/>
      <c r="W312" s="584"/>
      <c r="X312" s="584"/>
      <c r="Y312" s="584"/>
      <c r="Z312" s="584"/>
      <c r="AA312" s="584"/>
      <c r="AB312" s="584"/>
    </row>
    <row r="313" spans="1:28" ht="15.75">
      <c r="A313" s="584"/>
      <c r="O313" s="584"/>
      <c r="P313" s="601"/>
      <c r="Q313" s="601"/>
      <c r="R313" s="601"/>
      <c r="S313" s="601"/>
      <c r="T313" s="584"/>
      <c r="U313" s="584"/>
      <c r="V313" s="584"/>
      <c r="W313" s="584"/>
      <c r="X313" s="584"/>
      <c r="Y313" s="584"/>
      <c r="Z313" s="584"/>
      <c r="AA313" s="584"/>
      <c r="AB313" s="584"/>
    </row>
    <row r="314" spans="1:28" ht="15.75">
      <c r="A314" s="584"/>
      <c r="O314" s="584"/>
      <c r="P314" s="601"/>
      <c r="Q314" s="601"/>
      <c r="R314" s="601"/>
      <c r="S314" s="601"/>
      <c r="T314" s="584"/>
      <c r="U314" s="584"/>
      <c r="V314" s="584"/>
      <c r="W314" s="584"/>
      <c r="X314" s="584"/>
      <c r="Y314" s="584"/>
      <c r="Z314" s="584"/>
      <c r="AA314" s="584"/>
      <c r="AB314" s="584"/>
    </row>
    <row r="315" spans="1:28" ht="15.75">
      <c r="A315" s="584"/>
      <c r="O315" s="584"/>
      <c r="P315" s="601"/>
      <c r="Q315" s="601"/>
      <c r="R315" s="601"/>
      <c r="S315" s="601"/>
      <c r="T315" s="584"/>
      <c r="U315" s="584"/>
      <c r="V315" s="584"/>
      <c r="W315" s="584"/>
      <c r="X315" s="584"/>
      <c r="Y315" s="584"/>
      <c r="Z315" s="584"/>
      <c r="AA315" s="584"/>
      <c r="AB315" s="584"/>
    </row>
    <row r="316" spans="1:28" ht="15.75">
      <c r="A316" s="584"/>
      <c r="O316" s="584"/>
      <c r="P316" s="601"/>
      <c r="Q316" s="601"/>
      <c r="R316" s="601"/>
      <c r="S316" s="601"/>
      <c r="T316" s="584"/>
      <c r="U316" s="584"/>
      <c r="V316" s="584"/>
      <c r="W316" s="584"/>
      <c r="X316" s="584"/>
      <c r="Y316" s="584"/>
      <c r="Z316" s="584"/>
      <c r="AA316" s="584"/>
      <c r="AB316" s="584"/>
    </row>
    <row r="317" spans="1:28" ht="15.75">
      <c r="A317" s="584"/>
      <c r="O317" s="584"/>
      <c r="P317" s="601"/>
      <c r="Q317" s="601"/>
      <c r="R317" s="601"/>
      <c r="S317" s="601"/>
      <c r="T317" s="584"/>
      <c r="U317" s="584"/>
      <c r="V317" s="584"/>
      <c r="W317" s="584"/>
      <c r="X317" s="584"/>
      <c r="Y317" s="584"/>
      <c r="Z317" s="584"/>
      <c r="AA317" s="584"/>
      <c r="AB317" s="584"/>
    </row>
    <row r="318" spans="1:28" ht="15.75">
      <c r="A318" s="584"/>
      <c r="O318" s="584"/>
      <c r="P318" s="601"/>
      <c r="Q318" s="601"/>
      <c r="R318" s="601"/>
      <c r="S318" s="601"/>
      <c r="T318" s="584"/>
      <c r="U318" s="584"/>
      <c r="V318" s="584"/>
      <c r="W318" s="584"/>
      <c r="X318" s="584"/>
      <c r="Y318" s="584"/>
      <c r="Z318" s="584"/>
      <c r="AA318" s="584"/>
      <c r="AB318" s="584"/>
    </row>
    <row r="319" spans="1:28" ht="15.75">
      <c r="A319" s="584"/>
      <c r="O319" s="584"/>
      <c r="P319" s="601"/>
      <c r="Q319" s="601"/>
      <c r="R319" s="601"/>
      <c r="S319" s="601"/>
      <c r="T319" s="584"/>
      <c r="U319" s="584"/>
      <c r="V319" s="584"/>
      <c r="W319" s="584"/>
      <c r="X319" s="584"/>
      <c r="Y319" s="584"/>
      <c r="Z319" s="584"/>
      <c r="AA319" s="584"/>
      <c r="AB319" s="584"/>
    </row>
    <row r="320" spans="1:28" ht="15.75">
      <c r="A320" s="584"/>
      <c r="O320" s="584"/>
      <c r="P320" s="601"/>
      <c r="Q320" s="601"/>
      <c r="R320" s="601"/>
      <c r="S320" s="601"/>
      <c r="T320" s="584"/>
      <c r="U320" s="584"/>
      <c r="V320" s="584"/>
      <c r="W320" s="584"/>
      <c r="X320" s="584"/>
      <c r="Y320" s="584"/>
      <c r="Z320" s="584"/>
      <c r="AA320" s="584"/>
      <c r="AB320" s="584"/>
    </row>
    <row r="321" spans="1:28" ht="15.75">
      <c r="A321" s="584"/>
      <c r="O321" s="584"/>
      <c r="P321" s="601"/>
      <c r="Q321" s="601"/>
      <c r="R321" s="601"/>
      <c r="S321" s="601"/>
      <c r="T321" s="584"/>
      <c r="U321" s="584"/>
      <c r="V321" s="584"/>
      <c r="W321" s="584"/>
      <c r="X321" s="584"/>
      <c r="Y321" s="584"/>
      <c r="Z321" s="584"/>
      <c r="AA321" s="584"/>
      <c r="AB321" s="584"/>
    </row>
    <row r="322" spans="1:28" ht="15.75">
      <c r="A322" s="584"/>
      <c r="O322" s="584"/>
      <c r="P322" s="601"/>
      <c r="Q322" s="601"/>
      <c r="R322" s="601"/>
      <c r="S322" s="601"/>
      <c r="T322" s="584"/>
      <c r="U322" s="584"/>
      <c r="V322" s="584"/>
      <c r="W322" s="584"/>
      <c r="X322" s="584"/>
      <c r="Y322" s="584"/>
      <c r="Z322" s="584"/>
      <c r="AA322" s="584"/>
      <c r="AB322" s="584"/>
    </row>
    <row r="323" spans="1:28" ht="15.75">
      <c r="A323" s="584"/>
      <c r="O323" s="584"/>
      <c r="P323" s="601"/>
      <c r="Q323" s="601"/>
      <c r="R323" s="601"/>
      <c r="S323" s="601"/>
      <c r="T323" s="584"/>
      <c r="U323" s="584"/>
      <c r="V323" s="584"/>
      <c r="W323" s="584"/>
      <c r="X323" s="584"/>
      <c r="Y323" s="584"/>
      <c r="Z323" s="584"/>
      <c r="AA323" s="584"/>
      <c r="AB323" s="584"/>
    </row>
    <row r="324" spans="1:28" ht="15.75">
      <c r="A324" s="584"/>
      <c r="O324" s="584"/>
      <c r="P324" s="601"/>
      <c r="Q324" s="601"/>
      <c r="R324" s="601"/>
      <c r="S324" s="601"/>
      <c r="T324" s="584"/>
      <c r="U324" s="584"/>
      <c r="V324" s="584"/>
      <c r="W324" s="584"/>
      <c r="X324" s="584"/>
      <c r="Y324" s="584"/>
      <c r="Z324" s="584"/>
      <c r="AA324" s="584"/>
      <c r="AB324" s="584"/>
    </row>
    <row r="325" spans="1:28" ht="15.75">
      <c r="A325" s="584"/>
      <c r="O325" s="584"/>
      <c r="P325" s="601"/>
      <c r="Q325" s="601"/>
      <c r="R325" s="601"/>
      <c r="S325" s="601"/>
      <c r="T325" s="584"/>
      <c r="U325" s="584"/>
      <c r="V325" s="584"/>
      <c r="W325" s="584"/>
      <c r="X325" s="584"/>
      <c r="Y325" s="584"/>
      <c r="Z325" s="584"/>
      <c r="AA325" s="584"/>
      <c r="AB325" s="584"/>
    </row>
    <row r="326" spans="1:28" ht="15.75">
      <c r="A326" s="584"/>
      <c r="O326" s="584"/>
      <c r="P326" s="601"/>
      <c r="Q326" s="601"/>
      <c r="R326" s="601"/>
      <c r="S326" s="601"/>
      <c r="T326" s="584"/>
      <c r="U326" s="584"/>
      <c r="V326" s="584"/>
      <c r="W326" s="584"/>
      <c r="X326" s="584"/>
      <c r="Y326" s="584"/>
      <c r="Z326" s="584"/>
      <c r="AA326" s="584"/>
      <c r="AB326" s="584"/>
    </row>
    <row r="327" spans="1:28" ht="15.75">
      <c r="A327" s="584"/>
      <c r="O327" s="584"/>
      <c r="P327" s="601"/>
      <c r="Q327" s="601"/>
      <c r="R327" s="601"/>
      <c r="S327" s="601"/>
      <c r="T327" s="584"/>
      <c r="U327" s="584"/>
      <c r="V327" s="584"/>
      <c r="W327" s="584"/>
      <c r="X327" s="584"/>
      <c r="Y327" s="584"/>
      <c r="Z327" s="584"/>
      <c r="AA327" s="584"/>
      <c r="AB327" s="584"/>
    </row>
    <row r="328" spans="1:28" ht="15.75">
      <c r="A328" s="584"/>
      <c r="O328" s="584"/>
      <c r="P328" s="601"/>
      <c r="Q328" s="601"/>
      <c r="R328" s="601"/>
      <c r="S328" s="601"/>
      <c r="T328" s="584"/>
      <c r="U328" s="584"/>
      <c r="V328" s="584"/>
      <c r="W328" s="584"/>
      <c r="X328" s="584"/>
      <c r="Y328" s="584"/>
      <c r="Z328" s="584"/>
      <c r="AA328" s="584"/>
      <c r="AB328" s="584"/>
    </row>
    <row r="329" spans="1:28" ht="15.75">
      <c r="A329" s="584"/>
      <c r="O329" s="584"/>
      <c r="P329" s="601"/>
      <c r="Q329" s="601"/>
      <c r="R329" s="601"/>
      <c r="S329" s="601"/>
      <c r="T329" s="584"/>
      <c r="U329" s="584"/>
      <c r="V329" s="584"/>
      <c r="W329" s="584"/>
      <c r="X329" s="584"/>
      <c r="Y329" s="584"/>
      <c r="Z329" s="584"/>
      <c r="AA329" s="584"/>
      <c r="AB329" s="584"/>
    </row>
    <row r="330" spans="1:28" ht="15.75">
      <c r="A330" s="584"/>
      <c r="O330" s="584"/>
      <c r="P330" s="601"/>
      <c r="Q330" s="601"/>
      <c r="R330" s="601"/>
      <c r="S330" s="601"/>
      <c r="T330" s="584"/>
      <c r="U330" s="584"/>
      <c r="V330" s="584"/>
      <c r="W330" s="584"/>
      <c r="X330" s="584"/>
      <c r="Y330" s="584"/>
      <c r="Z330" s="584"/>
      <c r="AA330" s="584"/>
      <c r="AB330" s="584"/>
    </row>
    <row r="331" spans="1:28" ht="15.75">
      <c r="A331" s="584"/>
      <c r="O331" s="584"/>
      <c r="P331" s="601"/>
      <c r="Q331" s="601"/>
      <c r="R331" s="601"/>
      <c r="S331" s="601"/>
      <c r="T331" s="584"/>
      <c r="U331" s="584"/>
      <c r="V331" s="584"/>
      <c r="W331" s="584"/>
      <c r="X331" s="584"/>
      <c r="Y331" s="584"/>
      <c r="Z331" s="584"/>
      <c r="AA331" s="584"/>
      <c r="AB331" s="584"/>
    </row>
    <row r="332" spans="1:28" ht="15.75">
      <c r="A332" s="584"/>
      <c r="O332" s="584"/>
      <c r="P332" s="601"/>
      <c r="Q332" s="601"/>
      <c r="R332" s="601"/>
      <c r="S332" s="601"/>
      <c r="T332" s="584"/>
      <c r="U332" s="584"/>
      <c r="V332" s="584"/>
      <c r="W332" s="584"/>
      <c r="X332" s="584"/>
      <c r="Y332" s="584"/>
      <c r="Z332" s="584"/>
      <c r="AA332" s="584"/>
      <c r="AB332" s="584"/>
    </row>
    <row r="333" spans="1:28" ht="15.75">
      <c r="A333" s="584"/>
      <c r="O333" s="584"/>
      <c r="P333" s="601"/>
      <c r="Q333" s="601"/>
      <c r="R333" s="601"/>
      <c r="S333" s="601"/>
      <c r="T333" s="584"/>
      <c r="U333" s="584"/>
      <c r="V333" s="584"/>
      <c r="W333" s="584"/>
      <c r="X333" s="584"/>
      <c r="Y333" s="584"/>
      <c r="Z333" s="584"/>
      <c r="AA333" s="584"/>
      <c r="AB333" s="584"/>
    </row>
    <row r="334" spans="1:28" ht="15.75">
      <c r="A334" s="584"/>
      <c r="O334" s="584"/>
      <c r="P334" s="601"/>
      <c r="Q334" s="601"/>
      <c r="R334" s="601"/>
      <c r="S334" s="601"/>
      <c r="T334" s="584"/>
      <c r="U334" s="584"/>
      <c r="V334" s="584"/>
      <c r="W334" s="584"/>
      <c r="X334" s="584"/>
      <c r="Y334" s="584"/>
      <c r="Z334" s="584"/>
      <c r="AA334" s="584"/>
      <c r="AB334" s="584"/>
    </row>
    <row r="335" spans="1:28" ht="15.75">
      <c r="A335" s="584"/>
      <c r="O335" s="584"/>
      <c r="P335" s="601"/>
      <c r="Q335" s="601"/>
      <c r="R335" s="601"/>
      <c r="S335" s="601"/>
      <c r="T335" s="584"/>
      <c r="U335" s="584"/>
      <c r="V335" s="584"/>
      <c r="W335" s="584"/>
      <c r="X335" s="584"/>
      <c r="Y335" s="584"/>
      <c r="Z335" s="584"/>
      <c r="AA335" s="584"/>
      <c r="AB335" s="584"/>
    </row>
    <row r="336" spans="1:28" ht="15.75">
      <c r="A336" s="584"/>
      <c r="O336" s="584"/>
      <c r="P336" s="601"/>
      <c r="Q336" s="601"/>
      <c r="R336" s="601"/>
      <c r="S336" s="601"/>
      <c r="T336" s="584"/>
      <c r="U336" s="584"/>
      <c r="V336" s="584"/>
      <c r="W336" s="584"/>
      <c r="X336" s="584"/>
      <c r="Y336" s="584"/>
      <c r="Z336" s="584"/>
      <c r="AA336" s="584"/>
      <c r="AB336" s="584"/>
    </row>
    <row r="337" spans="1:28" ht="15.75">
      <c r="A337" s="584"/>
      <c r="O337" s="584"/>
      <c r="P337" s="601"/>
      <c r="Q337" s="601"/>
      <c r="R337" s="601"/>
      <c r="S337" s="601"/>
      <c r="T337" s="584"/>
      <c r="U337" s="584"/>
      <c r="V337" s="584"/>
      <c r="W337" s="584"/>
      <c r="X337" s="584"/>
      <c r="Y337" s="584"/>
      <c r="Z337" s="584"/>
      <c r="AA337" s="584"/>
      <c r="AB337" s="584"/>
    </row>
    <row r="338" spans="1:28" ht="15.75">
      <c r="A338" s="584"/>
      <c r="O338" s="584"/>
      <c r="P338" s="601"/>
      <c r="Q338" s="601"/>
      <c r="R338" s="601"/>
      <c r="S338" s="601"/>
      <c r="T338" s="584"/>
      <c r="U338" s="584"/>
      <c r="V338" s="584"/>
      <c r="W338" s="584"/>
      <c r="X338" s="584"/>
      <c r="Y338" s="584"/>
      <c r="Z338" s="584"/>
      <c r="AA338" s="584"/>
      <c r="AB338" s="584"/>
    </row>
    <row r="339" spans="1:28" ht="15.75">
      <c r="A339" s="584"/>
      <c r="O339" s="584"/>
      <c r="P339" s="601"/>
      <c r="Q339" s="601"/>
      <c r="R339" s="601"/>
      <c r="S339" s="601"/>
      <c r="T339" s="584"/>
      <c r="U339" s="584"/>
      <c r="V339" s="584"/>
      <c r="W339" s="584"/>
      <c r="X339" s="584"/>
      <c r="Y339" s="584"/>
      <c r="Z339" s="584"/>
      <c r="AA339" s="584"/>
      <c r="AB339" s="584"/>
    </row>
    <row r="340" spans="1:28" ht="15.75">
      <c r="A340" s="584"/>
      <c r="O340" s="584"/>
      <c r="P340" s="601"/>
      <c r="Q340" s="601"/>
      <c r="R340" s="601"/>
      <c r="S340" s="601"/>
      <c r="T340" s="584"/>
      <c r="U340" s="584"/>
      <c r="V340" s="584"/>
      <c r="W340" s="584"/>
      <c r="X340" s="584"/>
      <c r="Y340" s="584"/>
      <c r="Z340" s="584"/>
      <c r="AA340" s="584"/>
      <c r="AB340" s="584"/>
    </row>
    <row r="341" spans="1:28" ht="15.75">
      <c r="A341" s="584"/>
      <c r="O341" s="584"/>
      <c r="P341" s="601"/>
      <c r="Q341" s="601"/>
      <c r="R341" s="601"/>
      <c r="S341" s="601"/>
      <c r="T341" s="584"/>
      <c r="U341" s="584"/>
      <c r="V341" s="584"/>
      <c r="W341" s="584"/>
      <c r="X341" s="584"/>
      <c r="Y341" s="584"/>
      <c r="Z341" s="584"/>
      <c r="AA341" s="584"/>
      <c r="AB341" s="584"/>
    </row>
    <row r="342" spans="1:28" ht="15.75">
      <c r="A342" s="584"/>
      <c r="O342" s="584"/>
      <c r="P342" s="601"/>
      <c r="Q342" s="601"/>
      <c r="R342" s="601"/>
      <c r="S342" s="601"/>
      <c r="T342" s="584"/>
      <c r="U342" s="584"/>
      <c r="V342" s="584"/>
      <c r="W342" s="584"/>
      <c r="X342" s="584"/>
      <c r="Y342" s="584"/>
      <c r="Z342" s="584"/>
      <c r="AA342" s="584"/>
      <c r="AB342" s="584"/>
    </row>
    <row r="343" spans="1:28" ht="15.75">
      <c r="A343" s="584"/>
      <c r="O343" s="584"/>
      <c r="P343" s="601"/>
      <c r="Q343" s="601"/>
      <c r="R343" s="601"/>
      <c r="S343" s="601"/>
      <c r="T343" s="584"/>
      <c r="U343" s="584"/>
      <c r="V343" s="584"/>
      <c r="W343" s="584"/>
      <c r="X343" s="584"/>
      <c r="Y343" s="584"/>
      <c r="Z343" s="584"/>
      <c r="AA343" s="584"/>
      <c r="AB343" s="584"/>
    </row>
    <row r="344" spans="1:28" ht="15.75">
      <c r="A344" s="584"/>
      <c r="O344" s="584"/>
      <c r="P344" s="601"/>
      <c r="Q344" s="601"/>
      <c r="R344" s="601"/>
      <c r="S344" s="601"/>
      <c r="T344" s="584"/>
      <c r="U344" s="584"/>
      <c r="V344" s="584"/>
      <c r="W344" s="584"/>
      <c r="X344" s="584"/>
      <c r="Y344" s="584"/>
      <c r="Z344" s="584"/>
      <c r="AA344" s="584"/>
      <c r="AB344" s="584"/>
    </row>
    <row r="345" spans="1:28" ht="15.75">
      <c r="A345" s="584"/>
      <c r="O345" s="584"/>
      <c r="P345" s="601"/>
      <c r="Q345" s="601"/>
      <c r="R345" s="601"/>
      <c r="S345" s="601"/>
      <c r="T345" s="584"/>
      <c r="U345" s="584"/>
      <c r="V345" s="584"/>
      <c r="W345" s="584"/>
      <c r="X345" s="584"/>
      <c r="Y345" s="584"/>
      <c r="Z345" s="584"/>
      <c r="AA345" s="584"/>
      <c r="AB345" s="584"/>
    </row>
    <row r="346" spans="1:28" ht="15.75">
      <c r="A346" s="584"/>
      <c r="O346" s="584"/>
      <c r="P346" s="601"/>
      <c r="Q346" s="601"/>
      <c r="R346" s="601"/>
      <c r="S346" s="601"/>
      <c r="T346" s="584"/>
      <c r="U346" s="584"/>
      <c r="V346" s="584"/>
      <c r="W346" s="584"/>
      <c r="X346" s="584"/>
      <c r="Y346" s="584"/>
      <c r="Z346" s="584"/>
      <c r="AA346" s="584"/>
      <c r="AB346" s="584"/>
    </row>
    <row r="347" spans="1:28" ht="15.75">
      <c r="A347" s="584"/>
      <c r="O347" s="584"/>
      <c r="P347" s="601"/>
      <c r="Q347" s="601"/>
      <c r="R347" s="601"/>
      <c r="S347" s="601"/>
      <c r="T347" s="584"/>
      <c r="U347" s="584"/>
      <c r="V347" s="584"/>
      <c r="W347" s="584"/>
      <c r="X347" s="584"/>
      <c r="Y347" s="584"/>
      <c r="Z347" s="584"/>
      <c r="AA347" s="584"/>
      <c r="AB347" s="584"/>
    </row>
    <row r="348" spans="1:28" ht="15.75">
      <c r="A348" s="584"/>
      <c r="O348" s="584"/>
      <c r="P348" s="601"/>
      <c r="Q348" s="601"/>
      <c r="R348" s="601"/>
      <c r="S348" s="601"/>
      <c r="T348" s="584"/>
      <c r="U348" s="584"/>
      <c r="V348" s="584"/>
      <c r="W348" s="584"/>
      <c r="X348" s="584"/>
      <c r="Y348" s="584"/>
      <c r="Z348" s="584"/>
      <c r="AA348" s="584"/>
      <c r="AB348" s="584"/>
    </row>
    <row r="349" spans="1:28" ht="15.75">
      <c r="A349" s="584"/>
      <c r="O349" s="584"/>
      <c r="P349" s="601"/>
      <c r="Q349" s="601"/>
      <c r="R349" s="601"/>
      <c r="S349" s="601"/>
      <c r="T349" s="584"/>
      <c r="U349" s="584"/>
      <c r="V349" s="584"/>
      <c r="W349" s="584"/>
      <c r="X349" s="584"/>
      <c r="Y349" s="584"/>
      <c r="Z349" s="584"/>
      <c r="AA349" s="584"/>
      <c r="AB349" s="584"/>
    </row>
    <row r="350" spans="1:28" ht="15.75">
      <c r="A350" s="584"/>
      <c r="O350" s="584"/>
      <c r="P350" s="601"/>
      <c r="Q350" s="601"/>
      <c r="R350" s="601"/>
      <c r="S350" s="601"/>
      <c r="T350" s="584"/>
      <c r="U350" s="584"/>
      <c r="V350" s="584"/>
      <c r="W350" s="584"/>
      <c r="X350" s="584"/>
      <c r="Y350" s="584"/>
      <c r="Z350" s="584"/>
      <c r="AA350" s="584"/>
      <c r="AB350" s="584"/>
    </row>
    <row r="351" spans="1:28" ht="15.75">
      <c r="A351" s="584"/>
      <c r="O351" s="584"/>
      <c r="P351" s="601"/>
      <c r="Q351" s="601"/>
      <c r="R351" s="601"/>
      <c r="S351" s="601"/>
      <c r="T351" s="584"/>
      <c r="U351" s="584"/>
      <c r="V351" s="584"/>
      <c r="W351" s="584"/>
      <c r="X351" s="584"/>
      <c r="Y351" s="584"/>
      <c r="Z351" s="584"/>
      <c r="AA351" s="584"/>
      <c r="AB351" s="584"/>
    </row>
    <row r="352" spans="1:28" ht="15.75">
      <c r="A352" s="584"/>
      <c r="O352" s="584"/>
      <c r="P352" s="601"/>
      <c r="Q352" s="601"/>
      <c r="R352" s="601"/>
      <c r="S352" s="601"/>
      <c r="T352" s="584"/>
      <c r="U352" s="584"/>
      <c r="V352" s="584"/>
      <c r="W352" s="584"/>
      <c r="X352" s="584"/>
      <c r="Y352" s="584"/>
      <c r="Z352" s="584"/>
      <c r="AA352" s="584"/>
      <c r="AB352" s="584"/>
    </row>
    <row r="353" spans="1:28" ht="15.75">
      <c r="A353" s="584"/>
      <c r="O353" s="584"/>
      <c r="P353" s="601"/>
      <c r="Q353" s="601"/>
      <c r="R353" s="601"/>
      <c r="S353" s="601"/>
      <c r="T353" s="584"/>
      <c r="U353" s="584"/>
      <c r="V353" s="584"/>
      <c r="W353" s="584"/>
      <c r="X353" s="584"/>
      <c r="Y353" s="584"/>
      <c r="Z353" s="584"/>
      <c r="AA353" s="584"/>
      <c r="AB353" s="584"/>
    </row>
    <row r="354" spans="1:28" ht="15.75">
      <c r="A354" s="584"/>
      <c r="O354" s="584"/>
      <c r="P354" s="601"/>
      <c r="Q354" s="601"/>
      <c r="R354" s="601"/>
      <c r="S354" s="601"/>
      <c r="T354" s="584"/>
      <c r="U354" s="584"/>
      <c r="V354" s="584"/>
      <c r="W354" s="584"/>
      <c r="X354" s="584"/>
      <c r="Y354" s="584"/>
      <c r="Z354" s="584"/>
      <c r="AA354" s="584"/>
      <c r="AB354" s="584"/>
    </row>
    <row r="355" spans="1:28" ht="15.75">
      <c r="A355" s="584"/>
      <c r="O355" s="584"/>
      <c r="P355" s="601"/>
      <c r="Q355" s="601"/>
      <c r="R355" s="601"/>
      <c r="S355" s="601"/>
      <c r="T355" s="584"/>
      <c r="U355" s="584"/>
      <c r="V355" s="584"/>
      <c r="W355" s="584"/>
      <c r="X355" s="584"/>
      <c r="Y355" s="584"/>
      <c r="Z355" s="584"/>
      <c r="AA355" s="584"/>
      <c r="AB355" s="584"/>
    </row>
    <row r="356" spans="1:28" ht="15.75">
      <c r="A356" s="584"/>
      <c r="O356" s="584"/>
      <c r="P356" s="601"/>
      <c r="Q356" s="601"/>
      <c r="R356" s="601"/>
      <c r="S356" s="601"/>
      <c r="T356" s="584"/>
      <c r="U356" s="584"/>
      <c r="V356" s="584"/>
      <c r="W356" s="584"/>
      <c r="X356" s="584"/>
      <c r="Y356" s="584"/>
      <c r="Z356" s="584"/>
      <c r="AA356" s="584"/>
      <c r="AB356" s="584"/>
    </row>
    <row r="357" spans="1:28" ht="15.75">
      <c r="A357" s="584"/>
      <c r="O357" s="584"/>
      <c r="P357" s="601"/>
      <c r="Q357" s="601"/>
      <c r="R357" s="601"/>
      <c r="S357" s="601"/>
      <c r="T357" s="584"/>
      <c r="U357" s="584"/>
      <c r="V357" s="584"/>
      <c r="W357" s="584"/>
      <c r="X357" s="584"/>
      <c r="Y357" s="584"/>
      <c r="Z357" s="584"/>
      <c r="AA357" s="584"/>
      <c r="AB357" s="584"/>
    </row>
    <row r="358" spans="1:28" ht="15.75">
      <c r="A358" s="584"/>
      <c r="O358" s="584"/>
      <c r="P358" s="601"/>
      <c r="Q358" s="601"/>
      <c r="R358" s="601"/>
      <c r="S358" s="601"/>
      <c r="T358" s="584"/>
      <c r="U358" s="584"/>
      <c r="V358" s="584"/>
      <c r="W358" s="584"/>
      <c r="X358" s="584"/>
      <c r="Y358" s="584"/>
      <c r="Z358" s="584"/>
      <c r="AA358" s="584"/>
      <c r="AB358" s="584"/>
    </row>
    <row r="359" spans="1:28" ht="15.75">
      <c r="A359" s="584"/>
      <c r="O359" s="584"/>
      <c r="P359" s="601"/>
      <c r="Q359" s="601"/>
      <c r="R359" s="601"/>
      <c r="S359" s="601"/>
      <c r="T359" s="584"/>
      <c r="U359" s="584"/>
      <c r="V359" s="584"/>
      <c r="W359" s="584"/>
      <c r="X359" s="584"/>
      <c r="Y359" s="584"/>
      <c r="Z359" s="584"/>
      <c r="AA359" s="584"/>
      <c r="AB359" s="584"/>
    </row>
    <row r="360" spans="1:28" ht="15.75">
      <c r="A360" s="584"/>
      <c r="B360" s="1640" t="s">
        <v>1189</v>
      </c>
      <c r="C360" s="1641"/>
      <c r="D360" s="1641"/>
      <c r="E360" s="1641"/>
      <c r="F360" s="1641"/>
      <c r="G360" s="1641"/>
      <c r="H360" s="1641"/>
      <c r="I360" s="1641"/>
      <c r="J360" s="1641"/>
      <c r="O360" s="584"/>
      <c r="P360" s="601"/>
      <c r="Q360" s="601"/>
      <c r="R360" s="601"/>
      <c r="S360" s="601"/>
      <c r="T360" s="584"/>
      <c r="U360" s="584"/>
      <c r="V360" s="584"/>
      <c r="W360" s="584"/>
      <c r="X360" s="584"/>
      <c r="Y360" s="584"/>
      <c r="Z360" s="584"/>
      <c r="AA360" s="584"/>
      <c r="AB360" s="584"/>
    </row>
    <row r="361" spans="1:28" ht="15.75">
      <c r="A361" s="584"/>
      <c r="B361" s="603" t="s">
        <v>1190</v>
      </c>
      <c r="C361" s="603"/>
      <c r="D361" s="584"/>
      <c r="E361" s="584"/>
      <c r="F361" s="588"/>
      <c r="G361" s="588"/>
      <c r="H361" s="588"/>
      <c r="I361" s="584"/>
      <c r="J361" s="5"/>
      <c r="O361" s="584"/>
      <c r="P361" s="601"/>
      <c r="Q361" s="601"/>
      <c r="R361" s="601"/>
      <c r="S361" s="601"/>
      <c r="T361" s="584"/>
      <c r="U361" s="584"/>
      <c r="V361" s="584"/>
      <c r="W361" s="584"/>
      <c r="X361" s="584"/>
      <c r="Y361" s="584"/>
      <c r="Z361" s="584"/>
      <c r="AA361" s="584"/>
      <c r="AB361" s="584"/>
    </row>
    <row r="362" spans="1:28" ht="15.75">
      <c r="A362" s="584"/>
      <c r="B362" s="592">
        <v>6980</v>
      </c>
      <c r="C362" s="592"/>
      <c r="D362" s="603" t="s">
        <v>1191</v>
      </c>
      <c r="E362" s="603"/>
      <c r="F362" s="588"/>
      <c r="G362" s="588"/>
      <c r="H362" s="588"/>
      <c r="I362" s="584"/>
      <c r="J362" s="5"/>
      <c r="O362" s="584"/>
      <c r="P362" s="601"/>
      <c r="Q362" s="601"/>
      <c r="R362" s="601"/>
      <c r="S362" s="601"/>
      <c r="T362" s="584"/>
      <c r="U362" s="584"/>
      <c r="V362" s="584"/>
      <c r="W362" s="584"/>
      <c r="X362" s="584"/>
      <c r="Y362" s="584"/>
      <c r="Z362" s="584"/>
      <c r="AA362" s="584"/>
      <c r="AB362" s="584"/>
    </row>
    <row r="363" spans="1:28" ht="15.75">
      <c r="A363" s="584"/>
      <c r="B363" s="584"/>
      <c r="C363" s="584"/>
      <c r="D363" s="584"/>
      <c r="E363" s="584"/>
      <c r="F363" s="1502" t="s">
        <v>1090</v>
      </c>
      <c r="G363" s="588"/>
      <c r="H363" s="588"/>
      <c r="I363" s="1502" t="s">
        <v>1090</v>
      </c>
      <c r="J363" s="5"/>
      <c r="O363" s="584"/>
      <c r="P363" s="601"/>
      <c r="Q363" s="601"/>
      <c r="R363" s="601"/>
      <c r="S363" s="601"/>
      <c r="T363" s="584"/>
      <c r="U363" s="584"/>
      <c r="V363" s="584"/>
      <c r="W363" s="584"/>
      <c r="X363" s="584"/>
      <c r="Y363" s="584"/>
      <c r="Z363" s="584"/>
      <c r="AA363" s="584"/>
      <c r="AB363" s="584"/>
    </row>
    <row r="364" spans="1:28" ht="15.75">
      <c r="A364" s="584"/>
      <c r="B364" s="1568" t="s">
        <v>1192</v>
      </c>
      <c r="C364" s="1568"/>
      <c r="D364" s="1569"/>
      <c r="E364" s="5"/>
      <c r="F364" s="1568" t="s">
        <v>1193</v>
      </c>
      <c r="G364" s="1562"/>
      <c r="H364" s="588"/>
      <c r="I364" s="1511" t="s">
        <v>1091</v>
      </c>
      <c r="J364" s="1514"/>
      <c r="O364" s="584"/>
      <c r="P364" s="601"/>
      <c r="Q364" s="601"/>
      <c r="R364" s="601"/>
      <c r="S364" s="601"/>
      <c r="T364" s="584"/>
      <c r="U364" s="584"/>
      <c r="V364" s="584"/>
      <c r="W364" s="584"/>
      <c r="X364" s="584"/>
      <c r="Y364" s="584"/>
      <c r="Z364" s="584"/>
      <c r="AA364" s="584"/>
      <c r="AB364" s="584"/>
    </row>
    <row r="365" spans="1:28" ht="15.75">
      <c r="A365" s="584"/>
      <c r="B365" s="1503" t="s">
        <v>1194</v>
      </c>
      <c r="C365" s="1503"/>
      <c r="D365" s="1508" t="s">
        <v>306</v>
      </c>
      <c r="E365" s="1508"/>
      <c r="F365" s="1505" t="s">
        <v>1092</v>
      </c>
      <c r="G365" s="1508" t="s">
        <v>306</v>
      </c>
      <c r="H365" s="1506"/>
      <c r="I365" s="1507" t="s">
        <v>1092</v>
      </c>
      <c r="J365" s="1508" t="s">
        <v>306</v>
      </c>
      <c r="O365" s="584"/>
      <c r="P365" s="601"/>
      <c r="Q365" s="601"/>
      <c r="R365" s="601"/>
      <c r="S365" s="601"/>
      <c r="T365" s="584"/>
      <c r="U365" s="584"/>
      <c r="V365" s="584"/>
      <c r="W365" s="584"/>
      <c r="X365" s="584"/>
      <c r="Y365" s="584"/>
      <c r="Z365" s="584"/>
      <c r="AA365" s="584"/>
      <c r="AB365" s="584"/>
    </row>
    <row r="366" spans="1:28" ht="15.75">
      <c r="A366" s="584"/>
      <c r="B366" s="1561" t="s">
        <v>1093</v>
      </c>
      <c r="C366" s="1561"/>
      <c r="D366" s="1544">
        <v>7763.23</v>
      </c>
      <c r="E366" s="592"/>
      <c r="F366" s="1562" t="s">
        <v>1093</v>
      </c>
      <c r="G366" s="1543">
        <v>6980</v>
      </c>
      <c r="H366" s="588"/>
      <c r="I366" s="1512" t="s">
        <v>1093</v>
      </c>
      <c r="J366" s="1564">
        <v>7494.32</v>
      </c>
      <c r="O366" s="584"/>
      <c r="P366" s="601"/>
      <c r="Q366" s="601"/>
      <c r="R366" s="601"/>
      <c r="S366" s="601"/>
      <c r="T366" s="584"/>
      <c r="U366" s="584"/>
      <c r="V366" s="584"/>
      <c r="W366" s="584"/>
      <c r="X366" s="584"/>
      <c r="Y366" s="584"/>
      <c r="Z366" s="584"/>
      <c r="AA366" s="584"/>
      <c r="AB366" s="584"/>
    </row>
    <row r="367" spans="1:28" ht="15.75">
      <c r="A367" s="584"/>
      <c r="B367" s="1561" t="s">
        <v>1094</v>
      </c>
      <c r="C367" s="1561"/>
      <c r="D367" s="1551">
        <v>8093.24</v>
      </c>
      <c r="E367" s="587"/>
      <c r="F367" s="1562" t="s">
        <v>1094</v>
      </c>
      <c r="G367" s="1550">
        <v>7169</v>
      </c>
      <c r="H367" s="588"/>
      <c r="I367" s="1512" t="s">
        <v>1094</v>
      </c>
      <c r="J367" s="1565">
        <v>8093.33</v>
      </c>
      <c r="O367" s="584"/>
      <c r="P367" s="601"/>
      <c r="Q367" s="601"/>
      <c r="R367" s="601"/>
      <c r="S367" s="601"/>
      <c r="T367" s="584"/>
      <c r="U367" s="584"/>
      <c r="V367" s="584"/>
      <c r="W367" s="584"/>
      <c r="X367" s="584"/>
      <c r="Y367" s="584"/>
      <c r="Z367" s="584"/>
      <c r="AA367" s="584"/>
      <c r="AB367" s="584"/>
    </row>
    <row r="368" spans="1:28" ht="15.75">
      <c r="A368" s="584"/>
      <c r="B368" s="1561" t="s">
        <v>1095</v>
      </c>
      <c r="C368" s="1561"/>
      <c r="D368" s="1551">
        <v>7264.25</v>
      </c>
      <c r="E368" s="587"/>
      <c r="F368" s="1562" t="s">
        <v>1095</v>
      </c>
      <c r="G368" s="1550">
        <v>7197</v>
      </c>
      <c r="H368" s="588"/>
      <c r="I368" s="1512" t="s">
        <v>1095</v>
      </c>
      <c r="J368" s="1565">
        <v>7197.34</v>
      </c>
      <c r="O368" s="584"/>
      <c r="P368" s="601"/>
      <c r="Q368" s="601"/>
      <c r="R368" s="601"/>
      <c r="S368" s="601"/>
      <c r="T368" s="584"/>
      <c r="U368" s="584"/>
      <c r="V368" s="584"/>
      <c r="W368" s="584"/>
      <c r="X368" s="584"/>
      <c r="Y368" s="584"/>
      <c r="Z368" s="584"/>
      <c r="AA368" s="584"/>
      <c r="AB368" s="584"/>
    </row>
    <row r="369" spans="1:28" ht="15.75">
      <c r="A369" s="584"/>
      <c r="B369" s="1561" t="s">
        <v>1195</v>
      </c>
      <c r="C369" s="1561"/>
      <c r="D369" s="1551">
        <v>9177.26</v>
      </c>
      <c r="E369" s="587"/>
      <c r="F369" s="1562" t="s">
        <v>1195</v>
      </c>
      <c r="G369" s="1550">
        <v>6980</v>
      </c>
      <c r="H369" s="588"/>
      <c r="I369" s="1512" t="s">
        <v>1096</v>
      </c>
      <c r="J369" s="1565">
        <v>7715.35</v>
      </c>
      <c r="O369" s="584"/>
      <c r="P369" s="601"/>
      <c r="Q369" s="601"/>
      <c r="R369" s="601"/>
      <c r="S369" s="601"/>
      <c r="T369" s="584"/>
      <c r="U369" s="584"/>
      <c r="V369" s="584"/>
      <c r="W369" s="584"/>
      <c r="X369" s="584"/>
      <c r="Y369" s="584"/>
      <c r="Z369" s="584"/>
      <c r="AA369" s="584"/>
      <c r="AB369" s="584"/>
    </row>
    <row r="370" spans="1:28" ht="15.75">
      <c r="A370" s="584"/>
      <c r="B370" s="1561" t="s">
        <v>1096</v>
      </c>
      <c r="C370" s="1561"/>
      <c r="D370" s="1551">
        <v>9279.27</v>
      </c>
      <c r="E370" s="587"/>
      <c r="F370" s="1562" t="s">
        <v>1096</v>
      </c>
      <c r="G370" s="1550">
        <v>7169</v>
      </c>
      <c r="H370" s="588"/>
      <c r="I370" s="1512" t="s">
        <v>1097</v>
      </c>
      <c r="J370" s="1565">
        <v>6980.36</v>
      </c>
      <c r="O370" s="584"/>
      <c r="P370" s="601"/>
      <c r="Q370" s="601"/>
      <c r="R370" s="601"/>
      <c r="S370" s="601"/>
      <c r="T370" s="584"/>
      <c r="U370" s="584"/>
      <c r="V370" s="584"/>
      <c r="W370" s="584"/>
      <c r="X370" s="584"/>
      <c r="Y370" s="584"/>
      <c r="Z370" s="584"/>
      <c r="AA370" s="584"/>
      <c r="AB370" s="584"/>
    </row>
    <row r="371" spans="1:28" ht="15.75">
      <c r="A371" s="584"/>
      <c r="B371" s="1561" t="s">
        <v>1196</v>
      </c>
      <c r="C371" s="1561"/>
      <c r="D371" s="1551">
        <v>22360.28</v>
      </c>
      <c r="E371" s="587"/>
      <c r="F371" s="1562" t="s">
        <v>1196</v>
      </c>
      <c r="G371" s="1550">
        <v>7169</v>
      </c>
      <c r="H371" s="588"/>
      <c r="I371" s="1512" t="s">
        <v>1098</v>
      </c>
      <c r="J371" s="1565">
        <v>10367</v>
      </c>
      <c r="O371" s="584"/>
      <c r="P371" s="601"/>
      <c r="Q371" s="601"/>
      <c r="R371" s="601"/>
      <c r="S371" s="601"/>
      <c r="T371" s="584"/>
      <c r="U371" s="584"/>
      <c r="V371" s="584"/>
      <c r="W371" s="584"/>
      <c r="X371" s="584"/>
      <c r="Y371" s="584"/>
      <c r="Z371" s="584"/>
      <c r="AA371" s="584"/>
      <c r="AB371" s="584"/>
    </row>
    <row r="372" spans="1:28" ht="15.75">
      <c r="A372" s="584"/>
      <c r="B372" s="1561" t="s">
        <v>1197</v>
      </c>
      <c r="C372" s="1561"/>
      <c r="D372" s="1551">
        <v>33746.29</v>
      </c>
      <c r="E372" s="587"/>
      <c r="F372" s="1562" t="s">
        <v>1197</v>
      </c>
      <c r="G372" s="1563">
        <v>7169</v>
      </c>
      <c r="H372" s="593"/>
      <c r="I372" s="1513" t="s">
        <v>1198</v>
      </c>
      <c r="J372" s="1566">
        <v>6980</v>
      </c>
      <c r="O372" s="584"/>
      <c r="P372" s="601"/>
      <c r="Q372" s="601"/>
      <c r="R372" s="601"/>
      <c r="S372" s="601"/>
      <c r="T372" s="584"/>
      <c r="U372" s="584"/>
      <c r="V372" s="584"/>
      <c r="W372" s="584"/>
      <c r="X372" s="584"/>
      <c r="Y372" s="584"/>
      <c r="Z372" s="584"/>
      <c r="AA372" s="584"/>
      <c r="AB372" s="584"/>
    </row>
    <row r="373" spans="1:28" ht="15.75">
      <c r="A373" s="584"/>
      <c r="B373" s="1561" t="s">
        <v>1199</v>
      </c>
      <c r="C373" s="1561"/>
      <c r="D373" s="1551">
        <v>9713.2999999999993</v>
      </c>
      <c r="E373" s="587"/>
      <c r="F373" s="1562" t="s">
        <v>1199</v>
      </c>
      <c r="G373" s="1563">
        <v>7169</v>
      </c>
      <c r="H373" s="593"/>
      <c r="I373" s="5"/>
      <c r="J373" s="5"/>
      <c r="O373" s="584"/>
      <c r="P373" s="601"/>
      <c r="Q373" s="601"/>
      <c r="R373" s="601"/>
      <c r="S373" s="601"/>
      <c r="T373" s="584"/>
      <c r="U373" s="584"/>
      <c r="V373" s="584"/>
      <c r="W373" s="584"/>
      <c r="X373" s="584"/>
      <c r="Y373" s="584"/>
      <c r="Z373" s="584"/>
      <c r="AA373" s="584"/>
      <c r="AB373" s="584"/>
    </row>
    <row r="374" spans="1:28" ht="15.75">
      <c r="A374" s="584"/>
      <c r="B374" s="1561" t="s">
        <v>1200</v>
      </c>
      <c r="C374" s="1561"/>
      <c r="D374" s="1551">
        <v>10547.31</v>
      </c>
      <c r="E374" s="587"/>
      <c r="F374" s="1562" t="s">
        <v>1200</v>
      </c>
      <c r="G374" s="1563">
        <v>7169</v>
      </c>
      <c r="H374" s="593"/>
      <c r="I374" s="1500" t="s">
        <v>1111</v>
      </c>
      <c r="J374" s="1501"/>
      <c r="O374" s="584"/>
      <c r="P374" s="601"/>
      <c r="Q374" s="601"/>
      <c r="R374" s="601"/>
      <c r="S374" s="601"/>
      <c r="T374" s="584"/>
      <c r="U374" s="584"/>
      <c r="V374" s="584"/>
      <c r="W374" s="584"/>
      <c r="X374" s="584"/>
      <c r="Y374" s="584"/>
      <c r="Z374" s="584"/>
      <c r="AA374" s="584"/>
      <c r="AB374" s="584"/>
    </row>
    <row r="375" spans="1:28" ht="15.75">
      <c r="A375" s="584"/>
      <c r="B375" s="1561" t="s">
        <v>1201</v>
      </c>
      <c r="C375" s="1561"/>
      <c r="D375" s="1551">
        <v>13725.32</v>
      </c>
      <c r="E375" s="587"/>
      <c r="F375" s="1562" t="s">
        <v>1201</v>
      </c>
      <c r="G375" s="1563">
        <v>7169</v>
      </c>
      <c r="H375" s="593"/>
      <c r="I375" s="1512" t="s">
        <v>1162</v>
      </c>
      <c r="J375" s="1567" t="s">
        <v>1202</v>
      </c>
      <c r="O375" s="584"/>
      <c r="P375" s="601"/>
      <c r="Q375" s="601"/>
      <c r="R375" s="601"/>
      <c r="S375" s="601"/>
      <c r="T375" s="584"/>
      <c r="U375" s="584"/>
      <c r="V375" s="584"/>
      <c r="W375" s="584"/>
      <c r="X375" s="584"/>
      <c r="Y375" s="584"/>
      <c r="Z375" s="584"/>
      <c r="AA375" s="584"/>
      <c r="AB375" s="584"/>
    </row>
    <row r="376" spans="1:28" ht="15.75">
      <c r="A376" s="584"/>
      <c r="B376" s="1561" t="s">
        <v>1203</v>
      </c>
      <c r="C376" s="1561"/>
      <c r="D376" s="1551">
        <v>8532.33</v>
      </c>
      <c r="E376" s="587"/>
      <c r="F376" s="1562" t="s">
        <v>1203</v>
      </c>
      <c r="G376" s="1563">
        <v>6980</v>
      </c>
      <c r="H376" s="593"/>
      <c r="I376" s="1512" t="s">
        <v>1115</v>
      </c>
      <c r="J376" s="1512">
        <v>0.24</v>
      </c>
      <c r="O376" s="584"/>
      <c r="P376" s="601"/>
      <c r="Q376" s="601"/>
      <c r="R376" s="601"/>
      <c r="S376" s="601"/>
      <c r="T376" s="584"/>
      <c r="U376" s="584"/>
      <c r="V376" s="584"/>
      <c r="W376" s="584"/>
      <c r="X376" s="584"/>
      <c r="Y376" s="584"/>
      <c r="Z376" s="584"/>
      <c r="AA376" s="584"/>
      <c r="AB376" s="584"/>
    </row>
    <row r="377" spans="1:28" ht="15.75">
      <c r="A377" s="584"/>
      <c r="B377" s="1561" t="s">
        <v>1204</v>
      </c>
      <c r="C377" s="1561"/>
      <c r="D377" s="1551">
        <v>12286.34</v>
      </c>
      <c r="E377" s="587"/>
      <c r="F377" s="1562" t="s">
        <v>1204</v>
      </c>
      <c r="G377" s="1563">
        <v>7169</v>
      </c>
      <c r="H377" s="593"/>
      <c r="I377" s="1512" t="s">
        <v>1205</v>
      </c>
      <c r="J377" s="1512">
        <v>0.03</v>
      </c>
      <c r="K377" s="5" t="s">
        <v>1206</v>
      </c>
      <c r="O377" s="584"/>
      <c r="P377" s="601"/>
      <c r="Q377" s="601"/>
      <c r="R377" s="601"/>
      <c r="S377" s="601"/>
      <c r="T377" s="584"/>
      <c r="U377" s="584"/>
      <c r="V377" s="584"/>
      <c r="W377" s="584"/>
      <c r="X377" s="584"/>
      <c r="Y377" s="584"/>
      <c r="Z377" s="584"/>
      <c r="AA377" s="584"/>
      <c r="AB377" s="584"/>
    </row>
    <row r="378" spans="1:28" ht="15.75">
      <c r="A378" s="584"/>
      <c r="B378" s="1561" t="s">
        <v>1207</v>
      </c>
      <c r="C378" s="1561"/>
      <c r="D378" s="1551">
        <v>8764.35</v>
      </c>
      <c r="E378" s="587"/>
      <c r="F378" s="1562" t="s">
        <v>1207</v>
      </c>
      <c r="G378" s="1563">
        <v>7169</v>
      </c>
      <c r="H378" s="593"/>
      <c r="I378" s="1512" t="s">
        <v>1119</v>
      </c>
      <c r="J378" s="1512">
        <v>0.12</v>
      </c>
      <c r="O378" s="584"/>
      <c r="P378" s="601"/>
      <c r="Q378" s="601"/>
      <c r="R378" s="601"/>
      <c r="S378" s="601"/>
      <c r="T378" s="584"/>
      <c r="U378" s="584"/>
      <c r="V378" s="584"/>
      <c r="W378" s="584"/>
      <c r="X378" s="584"/>
      <c r="Y378" s="584"/>
      <c r="Z378" s="584"/>
      <c r="AA378" s="584"/>
      <c r="AB378" s="584"/>
    </row>
    <row r="379" spans="1:28" ht="15.75">
      <c r="A379" s="584"/>
      <c r="B379" s="1561" t="s">
        <v>1208</v>
      </c>
      <c r="C379" s="1561"/>
      <c r="D379" s="1551">
        <v>11794.36</v>
      </c>
      <c r="E379" s="587"/>
      <c r="F379" s="1562" t="s">
        <v>1208</v>
      </c>
      <c r="G379" s="1563">
        <v>7169</v>
      </c>
      <c r="H379" s="593"/>
      <c r="I379" s="5"/>
      <c r="J379" s="5"/>
      <c r="O379" s="584"/>
      <c r="P379" s="601"/>
      <c r="Q379" s="601"/>
      <c r="R379" s="601"/>
      <c r="S379" s="601"/>
      <c r="T379" s="584"/>
      <c r="U379" s="584"/>
      <c r="V379" s="584"/>
      <c r="W379" s="584"/>
      <c r="X379" s="584"/>
      <c r="Y379" s="584"/>
      <c r="Z379" s="584"/>
      <c r="AA379" s="584"/>
      <c r="AB379" s="584"/>
    </row>
    <row r="380" spans="1:28" ht="15.75">
      <c r="A380" s="584"/>
      <c r="B380" s="1561" t="s">
        <v>1209</v>
      </c>
      <c r="C380" s="1561"/>
      <c r="D380" s="1551">
        <v>23274.37</v>
      </c>
      <c r="E380" s="587"/>
      <c r="F380" s="1562" t="s">
        <v>1209</v>
      </c>
      <c r="G380" s="1563">
        <v>6980</v>
      </c>
      <c r="H380" s="593"/>
      <c r="I380" s="5"/>
      <c r="J380" s="5"/>
      <c r="O380" s="584"/>
      <c r="P380" s="601"/>
      <c r="Q380" s="601"/>
      <c r="R380" s="601"/>
      <c r="S380" s="601"/>
      <c r="T380" s="584"/>
      <c r="U380" s="584"/>
      <c r="V380" s="584"/>
      <c r="W380" s="584"/>
      <c r="X380" s="584"/>
      <c r="Y380" s="584"/>
      <c r="Z380" s="584"/>
      <c r="AA380" s="584"/>
      <c r="AB380" s="584"/>
    </row>
    <row r="381" spans="1:28" ht="15.75">
      <c r="A381" s="584"/>
      <c r="B381" s="1561" t="s">
        <v>1097</v>
      </c>
      <c r="C381" s="1561"/>
      <c r="D381" s="1551">
        <v>7222.38</v>
      </c>
      <c r="E381" s="587"/>
      <c r="F381" s="1562" t="s">
        <v>1097</v>
      </c>
      <c r="G381" s="1563">
        <v>6980</v>
      </c>
      <c r="H381" s="593"/>
      <c r="I381" s="584"/>
      <c r="J381" s="5"/>
      <c r="O381" s="584"/>
      <c r="P381" s="601"/>
      <c r="Q381" s="601"/>
      <c r="R381" s="601"/>
      <c r="S381" s="601"/>
      <c r="T381" s="584"/>
      <c r="U381" s="584"/>
      <c r="V381" s="584"/>
      <c r="W381" s="584"/>
      <c r="X381" s="584"/>
      <c r="Y381" s="584"/>
      <c r="Z381" s="584"/>
      <c r="AA381" s="584"/>
      <c r="AB381" s="584"/>
    </row>
    <row r="382" spans="1:28" ht="15.75">
      <c r="A382" s="584"/>
      <c r="B382" s="1561" t="s">
        <v>1098</v>
      </c>
      <c r="C382" s="1561"/>
      <c r="D382" s="1544">
        <v>11298</v>
      </c>
      <c r="E382" s="592"/>
      <c r="F382" s="1562" t="s">
        <v>1098</v>
      </c>
      <c r="G382" s="1563">
        <v>7169</v>
      </c>
      <c r="H382" s="593"/>
      <c r="I382" s="584"/>
      <c r="J382" s="5"/>
      <c r="O382" s="584"/>
      <c r="P382" s="601"/>
      <c r="Q382" s="601"/>
      <c r="R382" s="601"/>
      <c r="S382" s="601"/>
      <c r="T382" s="584"/>
      <c r="U382" s="584"/>
      <c r="V382" s="584"/>
      <c r="W382" s="584"/>
      <c r="X382" s="584"/>
      <c r="Y382" s="584"/>
      <c r="Z382" s="584"/>
      <c r="AA382" s="584"/>
      <c r="AB382" s="584"/>
    </row>
    <row r="383" spans="1:28" ht="15.75">
      <c r="A383" s="584"/>
      <c r="B383" s="584"/>
      <c r="C383" s="584"/>
      <c r="D383" s="584"/>
      <c r="E383" s="584"/>
      <c r="H383" s="588"/>
      <c r="I383" s="584"/>
      <c r="J383" s="5"/>
      <c r="O383" s="584"/>
      <c r="P383" s="601"/>
      <c r="Q383" s="601"/>
      <c r="R383" s="601"/>
      <c r="S383" s="601"/>
      <c r="T383" s="584"/>
      <c r="U383" s="584"/>
      <c r="V383" s="584"/>
      <c r="W383" s="584"/>
      <c r="X383" s="584"/>
      <c r="Y383" s="584"/>
      <c r="Z383" s="584"/>
      <c r="AA383" s="584"/>
      <c r="AB383" s="584"/>
    </row>
    <row r="384" spans="1:28" ht="15.75">
      <c r="A384" s="584"/>
      <c r="B384" s="584"/>
      <c r="C384" s="584"/>
      <c r="D384" s="584"/>
      <c r="E384" s="584"/>
      <c r="F384" s="588"/>
      <c r="G384" s="588"/>
      <c r="H384" s="588"/>
      <c r="I384" s="584"/>
      <c r="J384" s="5"/>
      <c r="O384" s="584"/>
      <c r="P384" s="601"/>
      <c r="Q384" s="601"/>
      <c r="R384" s="601"/>
      <c r="S384" s="601"/>
      <c r="T384" s="584"/>
      <c r="U384" s="584"/>
      <c r="V384" s="584"/>
      <c r="W384" s="584"/>
      <c r="X384" s="584"/>
      <c r="Y384" s="584"/>
      <c r="Z384" s="584"/>
      <c r="AA384" s="584"/>
      <c r="AB384" s="584"/>
    </row>
    <row r="385" spans="1:28" ht="15.75">
      <c r="A385" s="584"/>
      <c r="B385" s="1523" t="s">
        <v>1210</v>
      </c>
      <c r="C385" s="1523"/>
      <c r="D385" s="1524"/>
      <c r="E385" s="1524"/>
      <c r="F385" s="1525"/>
      <c r="G385" s="1525"/>
      <c r="H385" s="1525"/>
      <c r="I385" s="1524"/>
      <c r="J385" s="1526"/>
      <c r="O385" s="584"/>
      <c r="P385" s="601"/>
      <c r="Q385" s="601"/>
      <c r="R385" s="601"/>
      <c r="S385" s="601"/>
      <c r="T385" s="584"/>
      <c r="U385" s="584"/>
      <c r="V385" s="584"/>
      <c r="W385" s="584"/>
      <c r="X385" s="584"/>
      <c r="Y385" s="584"/>
      <c r="Z385" s="584"/>
      <c r="AA385" s="584"/>
      <c r="AB385" s="584"/>
    </row>
    <row r="386" spans="1:28" ht="15.75">
      <c r="A386" s="584"/>
      <c r="B386" s="603" t="s">
        <v>1190</v>
      </c>
      <c r="C386" s="603"/>
      <c r="D386" s="584"/>
      <c r="E386" s="584"/>
      <c r="F386" s="588"/>
      <c r="G386" s="588"/>
      <c r="H386" s="588"/>
      <c r="I386" s="584"/>
      <c r="J386" s="5"/>
      <c r="O386" s="584"/>
      <c r="P386" s="601"/>
      <c r="Q386" s="601"/>
      <c r="R386" s="601"/>
      <c r="S386" s="601"/>
      <c r="T386" s="584"/>
      <c r="U386" s="584"/>
      <c r="V386" s="584"/>
      <c r="W386" s="584"/>
      <c r="X386" s="584"/>
      <c r="Y386" s="584"/>
      <c r="Z386" s="584"/>
      <c r="AA386" s="584"/>
      <c r="AB386" s="584"/>
    </row>
    <row r="387" spans="1:28" ht="15.75">
      <c r="A387" s="584"/>
      <c r="B387" s="592">
        <v>7074</v>
      </c>
      <c r="C387" s="592"/>
      <c r="D387" s="603" t="s">
        <v>1211</v>
      </c>
      <c r="E387" s="603"/>
      <c r="F387" s="588"/>
      <c r="G387" s="588"/>
      <c r="H387" s="588"/>
      <c r="I387" s="584"/>
      <c r="J387" s="5"/>
      <c r="O387" s="602"/>
      <c r="P387" s="601"/>
      <c r="Q387" s="601"/>
      <c r="R387" s="601"/>
      <c r="S387" s="601"/>
      <c r="T387" s="584"/>
      <c r="U387" s="584"/>
      <c r="V387" s="584"/>
      <c r="W387" s="584"/>
      <c r="X387" s="584"/>
      <c r="Y387" s="584"/>
      <c r="Z387" s="584"/>
      <c r="AA387" s="584"/>
      <c r="AB387" s="584"/>
    </row>
    <row r="388" spans="1:28" ht="15.75">
      <c r="A388" s="584"/>
      <c r="B388" s="584"/>
      <c r="C388" s="584"/>
      <c r="D388" s="584"/>
      <c r="E388" s="584"/>
      <c r="F388" s="1502" t="s">
        <v>1090</v>
      </c>
      <c r="G388" s="588"/>
      <c r="H388" s="588"/>
      <c r="I388" s="1502" t="s">
        <v>1090</v>
      </c>
      <c r="J388" s="5"/>
      <c r="O388" s="602"/>
      <c r="P388" s="601"/>
      <c r="Q388" s="601"/>
      <c r="R388" s="601"/>
      <c r="S388" s="601"/>
      <c r="T388" s="584"/>
      <c r="U388" s="584"/>
      <c r="V388" s="584"/>
      <c r="W388" s="584"/>
      <c r="X388" s="584"/>
      <c r="Y388" s="584"/>
      <c r="Z388" s="584"/>
      <c r="AA388" s="584"/>
      <c r="AB388" s="584"/>
    </row>
    <row r="389" spans="1:28" ht="15.75">
      <c r="A389" s="584"/>
      <c r="B389" s="603" t="s">
        <v>1212</v>
      </c>
      <c r="C389" s="603"/>
      <c r="D389" s="5"/>
      <c r="E389" s="5"/>
      <c r="F389" s="603" t="s">
        <v>1213</v>
      </c>
      <c r="G389" s="588"/>
      <c r="H389" s="588"/>
      <c r="I389" s="603" t="s">
        <v>1214</v>
      </c>
      <c r="J389" s="5"/>
      <c r="O389" s="602"/>
      <c r="P389" s="601"/>
      <c r="Q389" s="601"/>
      <c r="R389" s="601"/>
      <c r="S389" s="601"/>
      <c r="T389" s="584"/>
      <c r="U389" s="584"/>
      <c r="V389" s="584"/>
      <c r="W389" s="584"/>
      <c r="X389" s="584"/>
      <c r="Y389" s="584"/>
      <c r="Z389" s="584"/>
      <c r="AA389" s="584"/>
      <c r="AB389" s="584"/>
    </row>
    <row r="390" spans="1:28" ht="15.75">
      <c r="A390" s="584"/>
      <c r="B390" s="1503" t="s">
        <v>1194</v>
      </c>
      <c r="C390" s="1503"/>
      <c r="D390" s="1508" t="s">
        <v>306</v>
      </c>
      <c r="E390" s="1508"/>
      <c r="F390" s="1505" t="s">
        <v>1092</v>
      </c>
      <c r="G390" s="1508" t="s">
        <v>306</v>
      </c>
      <c r="H390" s="1506"/>
      <c r="I390" s="1507" t="s">
        <v>1092</v>
      </c>
      <c r="J390" s="1508" t="s">
        <v>306</v>
      </c>
      <c r="O390" s="602" t="s">
        <v>1215</v>
      </c>
      <c r="P390" s="601"/>
      <c r="Q390" s="601"/>
      <c r="R390" s="601"/>
      <c r="S390" s="601"/>
      <c r="T390" s="584"/>
      <c r="U390" s="584"/>
      <c r="V390" s="584"/>
      <c r="W390" s="584"/>
      <c r="X390" s="584"/>
      <c r="Y390" s="584"/>
      <c r="Z390" s="584"/>
      <c r="AA390" s="584"/>
      <c r="AB390" s="584"/>
    </row>
    <row r="391" spans="1:28" ht="15.75">
      <c r="A391" s="584"/>
      <c r="B391" s="1561" t="s">
        <v>1093</v>
      </c>
      <c r="C391" s="1561"/>
      <c r="D391" s="1544">
        <v>7753</v>
      </c>
      <c r="E391" s="592"/>
      <c r="F391" s="1562" t="s">
        <v>1093</v>
      </c>
      <c r="G391" s="1543">
        <v>7074</v>
      </c>
      <c r="H391" s="588"/>
      <c r="I391" s="1512" t="s">
        <v>1093</v>
      </c>
      <c r="J391" s="1564">
        <v>7594</v>
      </c>
      <c r="O391" s="584"/>
      <c r="P391" s="601"/>
      <c r="Q391" s="601"/>
      <c r="R391" s="601"/>
      <c r="S391" s="601"/>
      <c r="T391" s="584"/>
      <c r="U391" s="584"/>
      <c r="V391" s="584"/>
      <c r="W391" s="584"/>
      <c r="X391" s="584"/>
      <c r="Y391" s="584"/>
      <c r="Z391" s="584"/>
      <c r="AA391" s="584"/>
      <c r="AB391" s="584"/>
    </row>
    <row r="392" spans="1:28" ht="15.75">
      <c r="A392" s="584"/>
      <c r="B392" s="1561" t="s">
        <v>1094</v>
      </c>
      <c r="C392" s="1561"/>
      <c r="D392" s="1551">
        <v>8197</v>
      </c>
      <c r="E392" s="587"/>
      <c r="F392" s="1562" t="s">
        <v>1094</v>
      </c>
      <c r="G392" s="1550">
        <v>7265</v>
      </c>
      <c r="H392" s="588"/>
      <c r="I392" s="1512" t="s">
        <v>1094</v>
      </c>
      <c r="J392" s="1565">
        <v>8197</v>
      </c>
      <c r="O392" s="603" t="s">
        <v>1216</v>
      </c>
      <c r="P392" s="584"/>
      <c r="Q392" s="584"/>
      <c r="R392" s="584"/>
      <c r="S392" s="584"/>
      <c r="T392" s="584"/>
      <c r="U392" s="584"/>
      <c r="V392" s="584"/>
      <c r="W392" s="584"/>
      <c r="X392" s="584"/>
      <c r="Y392" s="584"/>
      <c r="Z392" s="584"/>
      <c r="AA392" s="584"/>
      <c r="AB392" s="584"/>
    </row>
    <row r="393" spans="1:28" ht="15.75">
      <c r="A393" s="584"/>
      <c r="B393" s="1561" t="s">
        <v>1095</v>
      </c>
      <c r="C393" s="1561"/>
      <c r="D393" s="1551">
        <v>7361</v>
      </c>
      <c r="E393" s="587"/>
      <c r="F393" s="1562" t="s">
        <v>1095</v>
      </c>
      <c r="G393" s="1550">
        <v>7293</v>
      </c>
      <c r="H393" s="588"/>
      <c r="I393" s="1512" t="s">
        <v>1095</v>
      </c>
      <c r="J393" s="1565">
        <v>7293</v>
      </c>
      <c r="O393" s="603"/>
      <c r="P393" s="603"/>
      <c r="Q393" s="584"/>
      <c r="R393" s="584"/>
      <c r="S393" s="584"/>
      <c r="T393" s="584"/>
      <c r="U393" s="584"/>
      <c r="V393" s="584"/>
      <c r="W393" s="584"/>
      <c r="X393" s="584"/>
      <c r="Y393" s="584"/>
      <c r="Z393" s="584"/>
      <c r="AA393" s="584"/>
      <c r="AB393" s="584"/>
    </row>
    <row r="394" spans="1:28" ht="31.5">
      <c r="A394" s="584"/>
      <c r="B394" s="1561" t="s">
        <v>1195</v>
      </c>
      <c r="C394" s="1561"/>
      <c r="D394" s="1551">
        <v>9165</v>
      </c>
      <c r="E394" s="587"/>
      <c r="F394" s="1562" t="s">
        <v>1195</v>
      </c>
      <c r="G394" s="1550">
        <v>7074</v>
      </c>
      <c r="H394" s="588"/>
      <c r="I394" s="1512" t="s">
        <v>1096</v>
      </c>
      <c r="J394" s="1565">
        <v>7818</v>
      </c>
      <c r="O394" s="604" t="s">
        <v>1194</v>
      </c>
      <c r="P394" s="605" t="s">
        <v>1217</v>
      </c>
      <c r="Q394" s="606" t="s">
        <v>1218</v>
      </c>
      <c r="R394" s="584"/>
      <c r="S394" s="584"/>
      <c r="T394" s="584"/>
      <c r="U394" s="584"/>
      <c r="V394" s="584"/>
      <c r="W394" s="584"/>
      <c r="X394" s="584"/>
      <c r="Y394" s="584"/>
      <c r="Z394" s="584"/>
      <c r="AA394" s="584"/>
      <c r="AB394" s="584"/>
    </row>
    <row r="395" spans="1:28" ht="15.75">
      <c r="A395" s="591">
        <f t="shared" ref="A395:A411" si="171">ROW()-39</f>
        <v>356</v>
      </c>
      <c r="B395" s="1561" t="s">
        <v>1096</v>
      </c>
      <c r="C395" s="1561"/>
      <c r="D395" s="1551">
        <v>9267</v>
      </c>
      <c r="E395" s="587"/>
      <c r="F395" s="1562" t="s">
        <v>1096</v>
      </c>
      <c r="G395" s="1550">
        <v>7265</v>
      </c>
      <c r="H395" s="588"/>
      <c r="I395" s="1512" t="s">
        <v>1097</v>
      </c>
      <c r="J395" s="1565">
        <v>7074</v>
      </c>
      <c r="O395" s="607" t="s">
        <v>1087</v>
      </c>
      <c r="P395" s="608">
        <f>+R14</f>
        <v>8429.3823475451609</v>
      </c>
      <c r="Q395" s="609">
        <f>500000/(P395/4)</f>
        <v>237.26530812574282</v>
      </c>
      <c r="R395" s="584"/>
      <c r="S395" s="584"/>
      <c r="T395" s="584"/>
      <c r="U395" s="584"/>
      <c r="V395" s="584"/>
      <c r="W395" s="584"/>
      <c r="X395" s="584"/>
      <c r="Y395" s="584"/>
      <c r="Z395" s="584"/>
      <c r="AA395" s="584"/>
      <c r="AB395" s="584"/>
    </row>
    <row r="396" spans="1:28" ht="15.75">
      <c r="A396" s="591">
        <f t="shared" si="171"/>
        <v>357</v>
      </c>
      <c r="B396" s="1561" t="s">
        <v>1196</v>
      </c>
      <c r="C396" s="1561"/>
      <c r="D396" s="1551">
        <v>22331</v>
      </c>
      <c r="E396" s="587"/>
      <c r="F396" s="1562" t="s">
        <v>1196</v>
      </c>
      <c r="G396" s="1550">
        <v>7265</v>
      </c>
      <c r="H396" s="588"/>
      <c r="I396" s="1512" t="s">
        <v>1098</v>
      </c>
      <c r="J396" s="1565">
        <v>10501</v>
      </c>
      <c r="O396" s="610" t="s">
        <v>1089</v>
      </c>
      <c r="P396" s="611">
        <f>+R16</f>
        <v>8326.4897724523435</v>
      </c>
      <c r="Q396" s="611">
        <f t="shared" ref="Q396:Q411" si="172">500000/(P396/4)</f>
        <v>240.19725654583419</v>
      </c>
      <c r="R396" s="584"/>
      <c r="S396" s="584"/>
      <c r="T396" s="584"/>
      <c r="U396" s="584"/>
      <c r="V396" s="584"/>
      <c r="W396" s="584"/>
      <c r="X396" s="584"/>
      <c r="Y396" s="584"/>
      <c r="Z396" s="584"/>
      <c r="AA396" s="584"/>
      <c r="AB396" s="584"/>
    </row>
    <row r="397" spans="1:28" ht="15.75">
      <c r="A397" s="591">
        <f t="shared" si="171"/>
        <v>358</v>
      </c>
      <c r="B397" s="1561" t="s">
        <v>1197</v>
      </c>
      <c r="C397" s="1561"/>
      <c r="D397" s="1551">
        <v>33701</v>
      </c>
      <c r="E397" s="587"/>
      <c r="F397" s="1562" t="s">
        <v>1197</v>
      </c>
      <c r="G397" s="1563">
        <v>7265</v>
      </c>
      <c r="H397" s="593"/>
      <c r="I397" s="1513" t="s">
        <v>1198</v>
      </c>
      <c r="J397" s="1566">
        <f>+B387</f>
        <v>7074</v>
      </c>
      <c r="O397" s="610" t="s">
        <v>1099</v>
      </c>
      <c r="P397" s="611">
        <f t="shared" ref="P397:P411" si="173">+R27</f>
        <v>7242.9499619081098</v>
      </c>
      <c r="Q397" s="611">
        <f t="shared" si="172"/>
        <v>276.13058360451691</v>
      </c>
      <c r="R397" s="584"/>
      <c r="S397" s="584"/>
      <c r="T397" s="584"/>
      <c r="U397" s="584"/>
      <c r="V397" s="584"/>
      <c r="W397" s="584"/>
      <c r="X397" s="584"/>
      <c r="Y397" s="584"/>
      <c r="Z397" s="584"/>
      <c r="AA397" s="584"/>
      <c r="AB397" s="584"/>
    </row>
    <row r="398" spans="1:28" ht="15.75">
      <c r="A398" s="591">
        <f t="shared" si="171"/>
        <v>359</v>
      </c>
      <c r="B398" s="1561" t="s">
        <v>1199</v>
      </c>
      <c r="C398" s="1561"/>
      <c r="D398" s="1551">
        <v>9701</v>
      </c>
      <c r="E398" s="587"/>
      <c r="F398" s="1562" t="s">
        <v>1199</v>
      </c>
      <c r="G398" s="1563">
        <v>7265</v>
      </c>
      <c r="H398" s="593"/>
      <c r="I398" s="5"/>
      <c r="J398" s="5"/>
      <c r="O398" s="610" t="s">
        <v>1100</v>
      </c>
      <c r="P398" s="611">
        <f t="shared" si="173"/>
        <v>9339.7290423366921</v>
      </c>
      <c r="Q398" s="611">
        <f t="shared" si="172"/>
        <v>214.13897458203169</v>
      </c>
      <c r="R398" s="584"/>
      <c r="S398" s="584"/>
      <c r="T398" s="584"/>
      <c r="U398" s="584"/>
      <c r="V398" s="584"/>
      <c r="W398" s="584"/>
      <c r="X398" s="584"/>
      <c r="Y398" s="584"/>
      <c r="Z398" s="584"/>
      <c r="AA398" s="584"/>
      <c r="AB398" s="584"/>
    </row>
    <row r="399" spans="1:28" ht="15.75">
      <c r="A399" s="591">
        <f t="shared" si="171"/>
        <v>360</v>
      </c>
      <c r="B399" s="1561" t="s">
        <v>1200</v>
      </c>
      <c r="C399" s="1561"/>
      <c r="D399" s="1551">
        <v>10683</v>
      </c>
      <c r="E399" s="587"/>
      <c r="F399" s="1562" t="s">
        <v>1200</v>
      </c>
      <c r="G399" s="1563">
        <v>7265</v>
      </c>
      <c r="H399" s="593"/>
      <c r="I399" s="1500" t="s">
        <v>1111</v>
      </c>
      <c r="J399" s="1501"/>
      <c r="O399" s="610" t="s">
        <v>1101</v>
      </c>
      <c r="P399" s="611">
        <f t="shared" si="173"/>
        <v>9420.3898852952661</v>
      </c>
      <c r="Q399" s="611">
        <f t="shared" si="172"/>
        <v>212.30543792268034</v>
      </c>
      <c r="R399" s="584"/>
      <c r="S399" s="584"/>
      <c r="T399" s="584"/>
      <c r="U399" s="584"/>
      <c r="V399" s="584"/>
      <c r="W399" s="584"/>
      <c r="X399" s="584"/>
      <c r="Y399" s="584"/>
      <c r="Z399" s="584"/>
      <c r="AA399" s="584"/>
      <c r="AB399" s="584"/>
    </row>
    <row r="400" spans="1:28" ht="15.75">
      <c r="A400" s="591">
        <f t="shared" si="171"/>
        <v>361</v>
      </c>
      <c r="B400" s="1561" t="s">
        <v>1201</v>
      </c>
      <c r="C400" s="1561"/>
      <c r="D400" s="1551">
        <v>13707</v>
      </c>
      <c r="E400" s="587"/>
      <c r="F400" s="1562" t="s">
        <v>1201</v>
      </c>
      <c r="G400" s="1563">
        <v>7265</v>
      </c>
      <c r="H400" s="593"/>
      <c r="I400" s="1512" t="s">
        <v>1162</v>
      </c>
      <c r="J400" s="1567" t="s">
        <v>1202</v>
      </c>
      <c r="O400" s="610" t="s">
        <v>1102</v>
      </c>
      <c r="P400" s="611">
        <f t="shared" si="173"/>
        <v>30219.263550370324</v>
      </c>
      <c r="Q400" s="611">
        <f t="shared" si="172"/>
        <v>66.182949715711743</v>
      </c>
      <c r="R400" s="584"/>
      <c r="S400" s="584"/>
      <c r="T400" s="584"/>
      <c r="U400" s="584"/>
      <c r="V400" s="584"/>
      <c r="W400" s="584"/>
      <c r="X400" s="584"/>
      <c r="Y400" s="584"/>
      <c r="Z400" s="584"/>
      <c r="AA400" s="584"/>
      <c r="AB400" s="584"/>
    </row>
    <row r="401" spans="1:28" ht="15.75">
      <c r="A401" s="591">
        <f t="shared" si="171"/>
        <v>362</v>
      </c>
      <c r="B401" s="1561" t="s">
        <v>1203</v>
      </c>
      <c r="C401" s="1561"/>
      <c r="D401" s="1551">
        <v>8644</v>
      </c>
      <c r="E401" s="587"/>
      <c r="F401" s="1562" t="s">
        <v>1203</v>
      </c>
      <c r="G401" s="1563">
        <v>7074</v>
      </c>
      <c r="H401" s="593"/>
      <c r="I401" s="1512" t="s">
        <v>1115</v>
      </c>
      <c r="J401" s="1512">
        <v>0.23</v>
      </c>
      <c r="O401" s="610" t="s">
        <v>1103</v>
      </c>
      <c r="P401" s="611">
        <f t="shared" si="173"/>
        <v>31067.774574253475</v>
      </c>
      <c r="Q401" s="611">
        <f t="shared" si="172"/>
        <v>64.375386631569114</v>
      </c>
      <c r="R401" s="584"/>
      <c r="S401" s="584"/>
      <c r="T401" s="584"/>
      <c r="U401" s="584"/>
      <c r="V401" s="584"/>
      <c r="W401" s="584"/>
      <c r="X401" s="584"/>
      <c r="Y401" s="584"/>
      <c r="Z401" s="584"/>
      <c r="AA401" s="584"/>
      <c r="AB401" s="584"/>
    </row>
    <row r="402" spans="1:28" ht="15.75">
      <c r="A402" s="591">
        <f t="shared" si="171"/>
        <v>363</v>
      </c>
      <c r="B402" s="1561" t="s">
        <v>1204</v>
      </c>
      <c r="C402" s="1561"/>
      <c r="D402" s="1551">
        <v>12447</v>
      </c>
      <c r="E402" s="587"/>
      <c r="F402" s="1562" t="s">
        <v>1204</v>
      </c>
      <c r="G402" s="1563">
        <v>7265</v>
      </c>
      <c r="H402" s="593"/>
      <c r="I402" s="1512" t="s">
        <v>1205</v>
      </c>
      <c r="J402" s="1512">
        <v>0.03</v>
      </c>
      <c r="K402" s="5" t="s">
        <v>1206</v>
      </c>
      <c r="O402" s="610" t="s">
        <v>1104</v>
      </c>
      <c r="P402" s="611">
        <f t="shared" si="173"/>
        <v>9688.9168173623493</v>
      </c>
      <c r="Q402" s="611">
        <f t="shared" si="172"/>
        <v>206.42142333351848</v>
      </c>
      <c r="R402" s="584"/>
      <c r="S402" s="584"/>
      <c r="T402" s="584"/>
      <c r="U402" s="584"/>
      <c r="V402" s="584"/>
      <c r="W402" s="584"/>
      <c r="X402" s="584"/>
      <c r="Y402" s="584"/>
      <c r="Z402" s="584"/>
      <c r="AA402" s="584"/>
      <c r="AB402" s="584"/>
    </row>
    <row r="403" spans="1:28" ht="15.75">
      <c r="A403" s="591">
        <f t="shared" si="171"/>
        <v>364</v>
      </c>
      <c r="B403" s="1561" t="s">
        <v>1207</v>
      </c>
      <c r="C403" s="1561"/>
      <c r="D403" s="1551">
        <v>8881</v>
      </c>
      <c r="E403" s="587"/>
      <c r="F403" s="1562" t="s">
        <v>1207</v>
      </c>
      <c r="G403" s="1563">
        <v>7265</v>
      </c>
      <c r="H403" s="593"/>
      <c r="I403" s="1512" t="s">
        <v>1119</v>
      </c>
      <c r="J403" s="1512">
        <v>0.12</v>
      </c>
      <c r="O403" s="610" t="s">
        <v>1105</v>
      </c>
      <c r="P403" s="611">
        <f t="shared" si="173"/>
        <v>12053.338724633586</v>
      </c>
      <c r="Q403" s="611">
        <f t="shared" si="172"/>
        <v>165.92912932186752</v>
      </c>
      <c r="R403" s="584"/>
      <c r="S403" s="584"/>
      <c r="T403" s="584"/>
      <c r="U403" s="584"/>
      <c r="V403" s="584"/>
      <c r="W403" s="584"/>
      <c r="X403" s="584"/>
      <c r="Y403" s="584"/>
      <c r="Z403" s="584"/>
      <c r="AA403" s="584"/>
      <c r="AB403" s="584"/>
    </row>
    <row r="404" spans="1:28" ht="15.75">
      <c r="A404" s="591">
        <f t="shared" si="171"/>
        <v>365</v>
      </c>
      <c r="B404" s="1561" t="s">
        <v>1208</v>
      </c>
      <c r="C404" s="1561"/>
      <c r="D404" s="1551">
        <v>11779</v>
      </c>
      <c r="E404" s="587"/>
      <c r="F404" s="1562" t="s">
        <v>1208</v>
      </c>
      <c r="G404" s="1563">
        <v>7265</v>
      </c>
      <c r="H404" s="593"/>
      <c r="I404" s="5"/>
      <c r="J404" s="5"/>
      <c r="O404" s="610" t="s">
        <v>1106</v>
      </c>
      <c r="P404" s="611">
        <f t="shared" si="173"/>
        <v>13816.314817401271</v>
      </c>
      <c r="Q404" s="611">
        <f t="shared" si="172"/>
        <v>144.75640041735693</v>
      </c>
      <c r="R404" s="584"/>
      <c r="S404" s="584"/>
      <c r="T404" s="584"/>
      <c r="U404" s="584"/>
      <c r="V404" s="584"/>
      <c r="W404" s="584"/>
      <c r="X404" s="584"/>
      <c r="Y404" s="584"/>
      <c r="Z404" s="584"/>
      <c r="AA404" s="584"/>
      <c r="AB404" s="584"/>
    </row>
    <row r="405" spans="1:28" ht="15.75">
      <c r="A405" s="591">
        <f t="shared" si="171"/>
        <v>366</v>
      </c>
      <c r="B405" s="1561" t="s">
        <v>1209</v>
      </c>
      <c r="C405" s="1561"/>
      <c r="D405" s="1551">
        <v>23243</v>
      </c>
      <c r="E405" s="587"/>
      <c r="F405" s="1562" t="s">
        <v>1209</v>
      </c>
      <c r="G405" s="1563">
        <v>7074</v>
      </c>
      <c r="H405" s="593"/>
      <c r="I405" s="5"/>
      <c r="J405" s="5"/>
      <c r="O405" s="610" t="s">
        <v>1107</v>
      </c>
      <c r="P405" s="611">
        <f t="shared" si="173"/>
        <v>8767.3826380934333</v>
      </c>
      <c r="Q405" s="611">
        <f t="shared" si="172"/>
        <v>228.11825176994017</v>
      </c>
      <c r="R405" s="584"/>
      <c r="S405" s="584"/>
      <c r="T405" s="584"/>
      <c r="U405" s="584"/>
      <c r="V405" s="584"/>
      <c r="W405" s="584"/>
      <c r="X405" s="584"/>
      <c r="Y405" s="584"/>
      <c r="Z405" s="584"/>
      <c r="AA405" s="584"/>
      <c r="AB405" s="584"/>
    </row>
    <row r="406" spans="1:28" ht="15.75">
      <c r="A406" s="591">
        <f t="shared" si="171"/>
        <v>367</v>
      </c>
      <c r="B406" s="1561" t="s">
        <v>1097</v>
      </c>
      <c r="C406" s="1561"/>
      <c r="D406" s="1551">
        <v>7318</v>
      </c>
      <c r="E406" s="587"/>
      <c r="F406" s="1562" t="s">
        <v>1097</v>
      </c>
      <c r="G406" s="1563">
        <v>7074</v>
      </c>
      <c r="H406" s="593"/>
      <c r="I406" s="584"/>
      <c r="J406" s="5"/>
      <c r="O406" s="610" t="s">
        <v>1108</v>
      </c>
      <c r="P406" s="611">
        <f t="shared" si="173"/>
        <v>11805.646509297234</v>
      </c>
      <c r="Q406" s="611">
        <f t="shared" si="172"/>
        <v>169.41045951400895</v>
      </c>
      <c r="R406" s="584"/>
      <c r="S406" s="584"/>
      <c r="T406" s="584"/>
      <c r="U406" s="584"/>
      <c r="V406" s="584"/>
      <c r="W406" s="584"/>
      <c r="X406" s="584"/>
      <c r="Y406" s="584"/>
      <c r="Z406" s="584"/>
      <c r="AA406" s="584"/>
      <c r="AB406" s="584"/>
    </row>
    <row r="407" spans="1:28" ht="15.75">
      <c r="A407" s="591">
        <f t="shared" si="171"/>
        <v>368</v>
      </c>
      <c r="B407" s="1561" t="s">
        <v>1098</v>
      </c>
      <c r="C407" s="1561"/>
      <c r="D407" s="1544">
        <v>11444.55</v>
      </c>
      <c r="E407" s="592"/>
      <c r="F407" s="1562" t="s">
        <v>1098</v>
      </c>
      <c r="G407" s="1563">
        <v>7265</v>
      </c>
      <c r="H407" s="593"/>
      <c r="I407" s="584"/>
      <c r="J407" s="5"/>
      <c r="O407" s="610" t="s">
        <v>1110</v>
      </c>
      <c r="P407" s="611">
        <f t="shared" si="173"/>
        <v>9793.7160516863933</v>
      </c>
      <c r="Q407" s="611">
        <f t="shared" si="172"/>
        <v>204.21257768195323</v>
      </c>
      <c r="R407" s="584"/>
      <c r="S407" s="584"/>
      <c r="T407" s="584"/>
      <c r="U407" s="584"/>
      <c r="V407" s="584"/>
      <c r="W407" s="584"/>
      <c r="X407" s="584"/>
      <c r="Y407" s="584"/>
      <c r="Z407" s="584"/>
      <c r="AA407" s="584"/>
      <c r="AB407" s="584"/>
    </row>
    <row r="408" spans="1:28" ht="15.75">
      <c r="A408" s="591">
        <f t="shared" si="171"/>
        <v>369</v>
      </c>
      <c r="B408" s="584"/>
      <c r="C408" s="584"/>
      <c r="D408" s="584"/>
      <c r="E408" s="584"/>
      <c r="F408" s="588" t="s">
        <v>1198</v>
      </c>
      <c r="G408" s="1510">
        <f>+B387</f>
        <v>7074</v>
      </c>
      <c r="H408" s="588"/>
      <c r="I408" s="584"/>
      <c r="J408" s="5"/>
      <c r="O408" s="610" t="s">
        <v>1112</v>
      </c>
      <c r="P408" s="611">
        <f t="shared" si="173"/>
        <v>12894.414156081819</v>
      </c>
      <c r="Q408" s="611">
        <f t="shared" si="172"/>
        <v>155.10592228470293</v>
      </c>
      <c r="R408" s="584"/>
      <c r="S408" s="584"/>
      <c r="T408" s="584"/>
      <c r="U408" s="584"/>
      <c r="V408" s="584"/>
      <c r="W408" s="584"/>
      <c r="X408" s="584"/>
      <c r="Y408" s="584"/>
      <c r="Z408" s="584"/>
      <c r="AA408" s="584"/>
      <c r="AB408" s="584"/>
    </row>
    <row r="409" spans="1:28" ht="15.75">
      <c r="A409" s="591">
        <f t="shared" si="171"/>
        <v>370</v>
      </c>
      <c r="O409" s="610" t="s">
        <v>1114</v>
      </c>
      <c r="P409" s="611">
        <f t="shared" si="173"/>
        <v>16352.403262371867</v>
      </c>
      <c r="Q409" s="611">
        <f t="shared" si="172"/>
        <v>122.30618141629085</v>
      </c>
      <c r="R409" s="584"/>
      <c r="S409" s="584"/>
      <c r="T409" s="584"/>
      <c r="U409" s="584"/>
      <c r="V409" s="584"/>
      <c r="W409" s="584"/>
      <c r="X409" s="584"/>
      <c r="Y409" s="584"/>
      <c r="Z409" s="584"/>
      <c r="AA409" s="584"/>
      <c r="AB409" s="584"/>
    </row>
    <row r="410" spans="1:28" ht="15.75">
      <c r="A410" s="591">
        <f t="shared" si="171"/>
        <v>371</v>
      </c>
      <c r="O410" s="610" t="s">
        <v>1116</v>
      </c>
      <c r="P410" s="611">
        <f t="shared" si="173"/>
        <v>7451.3102570989922</v>
      </c>
      <c r="Q410" s="611">
        <f t="shared" si="172"/>
        <v>268.4091697959517</v>
      </c>
      <c r="R410" s="584"/>
      <c r="S410" s="584"/>
      <c r="T410" s="584"/>
      <c r="U410" s="584"/>
      <c r="V410" s="584"/>
      <c r="W410" s="584"/>
      <c r="X410" s="584"/>
      <c r="Y410" s="584"/>
      <c r="Z410" s="584"/>
      <c r="AA410" s="584"/>
      <c r="AB410" s="584"/>
    </row>
    <row r="411" spans="1:28" ht="15.75">
      <c r="A411" s="591">
        <f t="shared" si="171"/>
        <v>372</v>
      </c>
      <c r="O411" s="610" t="s">
        <v>1118</v>
      </c>
      <c r="P411" s="612">
        <f t="shared" si="173"/>
        <v>11115.885152830571</v>
      </c>
      <c r="Q411" s="611">
        <f t="shared" si="172"/>
        <v>179.92269373984274</v>
      </c>
      <c r="R411" s="584"/>
      <c r="S411" s="584"/>
      <c r="T411" s="584"/>
      <c r="U411" s="584"/>
      <c r="V411" s="584"/>
      <c r="W411" s="584"/>
      <c r="X411" s="584"/>
      <c r="Y411" s="584"/>
      <c r="Z411" s="584"/>
      <c r="AA411" s="584"/>
      <c r="AB411" s="584"/>
    </row>
    <row r="412" spans="1:28" ht="15.75">
      <c r="A412" s="584"/>
      <c r="O412" s="584"/>
      <c r="P412" s="584"/>
      <c r="Q412" s="584"/>
      <c r="R412" s="584"/>
      <c r="S412" s="584"/>
      <c r="T412" s="584"/>
      <c r="U412" s="584"/>
      <c r="V412" s="584"/>
      <c r="W412" s="584"/>
      <c r="X412" s="584"/>
      <c r="Y412" s="584"/>
      <c r="Z412" s="584"/>
      <c r="AA412" s="584"/>
      <c r="AB412" s="584"/>
    </row>
    <row r="413" spans="1:28" ht="15.75">
      <c r="A413" s="584"/>
      <c r="O413" s="613" t="s">
        <v>1219</v>
      </c>
      <c r="P413" s="584"/>
      <c r="Q413" s="584"/>
      <c r="R413" s="584"/>
      <c r="S413" s="584"/>
      <c r="T413" s="584"/>
      <c r="U413" s="584"/>
      <c r="V413" s="584"/>
      <c r="W413" s="584"/>
      <c r="X413" s="584"/>
      <c r="Y413" s="584"/>
      <c r="Z413" s="584"/>
      <c r="AA413" s="584"/>
      <c r="AB413" s="584"/>
    </row>
    <row r="414" spans="1:28" ht="15.75">
      <c r="A414" s="584"/>
      <c r="O414" s="584"/>
      <c r="P414" s="584"/>
      <c r="Q414" s="584"/>
      <c r="R414" s="584"/>
      <c r="S414" s="584"/>
      <c r="T414" s="584"/>
      <c r="U414" s="584"/>
      <c r="V414" s="584"/>
      <c r="W414" s="584"/>
      <c r="X414" s="584"/>
      <c r="Y414" s="584"/>
      <c r="Z414" s="584"/>
      <c r="AA414" s="584"/>
      <c r="AB414" s="584"/>
    </row>
    <row r="415" spans="1:28">
      <c r="O415"/>
      <c r="P415" s="1866"/>
      <c r="Q415" s="1866"/>
      <c r="R415" s="1866"/>
      <c r="S415" s="1866"/>
      <c r="T415"/>
      <c r="U415"/>
      <c r="V415"/>
      <c r="W415"/>
      <c r="X415"/>
      <c r="Y415"/>
      <c r="Z415"/>
      <c r="AA415"/>
    </row>
  </sheetData>
  <sheetProtection algorithmName="SHA-512" hashValue="sgLbW3qb6QVonJXgcYGMCdOqiaU4kP+NMmSSzA6KzE66JD267YjAzh2OScFuG50GRxdME+cc9AfC5FaLlyDarQ==" saltValue="HC9UlrEFbLvOH5TDob/rvA==" spinCount="100000" sheet="1" objects="1" scenarios="1"/>
  <mergeCells count="2">
    <mergeCell ref="P11:Q11"/>
    <mergeCell ref="V11:W11"/>
  </mergeCells>
  <conditionalFormatting sqref="Z43:Z262">
    <cfRule type="expression" dxfId="9" priority="23" stopIfTrue="1">
      <formula>MOD(ROW(),2)=0</formula>
    </cfRule>
  </conditionalFormatting>
  <conditionalFormatting sqref="O395:Q411">
    <cfRule type="expression" dxfId="8" priority="27" stopIfTrue="1">
      <formula>MOD(ROW(),2)=0</formula>
    </cfRule>
  </conditionalFormatting>
  <conditionalFormatting sqref="Y1">
    <cfRule type="expression" dxfId="7" priority="3" stopIfTrue="1">
      <formula>MOD(ROW(),2)=0</formula>
    </cfRule>
  </conditionalFormatting>
  <conditionalFormatting sqref="Q1">
    <cfRule type="expression" dxfId="6" priority="2" stopIfTrue="1">
      <formula>MOD(ROW(),2)=0</formula>
    </cfRule>
  </conditionalFormatting>
  <hyperlinks>
    <hyperlink ref="Q1" location="HypLink1" display="HypLink1"/>
  </hyperlinks>
  <pageMargins left="0.25" right="0.25" top="0.5" bottom="0.45" header="0.25" footer="0.25"/>
  <pageSetup scale="89" orientation="landscape" r:id="rId1"/>
  <headerFooter>
    <oddHeader xml:space="preserve">&amp;L &amp;C &amp;R </oddHeader>
    <oddFooter>&amp;L&amp;7&amp;D  at &amp;T Mike 702.486.8879&amp;C&amp;7&amp;F  &amp;A&amp;R&amp;7Page &amp;P of &amp;N</oddFooter>
  </headerFooter>
  <rowBreaks count="4" manualBreakCount="4">
    <brk id="38" max="13" man="1"/>
    <brk id="83" max="13" man="1"/>
    <brk id="262" max="13" man="1"/>
    <brk id="389" max="1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249977111117893"/>
  </sheetPr>
  <dimension ref="A1:N43"/>
  <sheetViews>
    <sheetView workbookViewId="0">
      <selection activeCell="B65" sqref="B65"/>
    </sheetView>
  </sheetViews>
  <sheetFormatPr defaultColWidth="9.140625" defaultRowHeight="12.75"/>
  <cols>
    <col min="1" max="1" width="30" style="323" customWidth="1"/>
    <col min="2" max="2" width="30.85546875" style="323" customWidth="1"/>
    <col min="3" max="4" width="9" style="323" customWidth="1"/>
    <col min="5" max="5" width="7.42578125" style="323" customWidth="1"/>
    <col min="6" max="6" width="7" style="323" customWidth="1"/>
    <col min="7" max="7" width="12" style="323" customWidth="1"/>
    <col min="8" max="8" width="8.28515625" style="323" customWidth="1"/>
    <col min="9" max="9" width="12.5703125" style="323" customWidth="1"/>
    <col min="10" max="10" width="8.5703125" style="323" customWidth="1"/>
    <col min="11" max="11" width="12.7109375" style="323" customWidth="1"/>
    <col min="12" max="12" width="11.42578125" style="323" customWidth="1"/>
    <col min="13" max="13" width="10.5703125" style="323" customWidth="1"/>
    <col min="14" max="14" width="2.85546875" style="323" customWidth="1"/>
    <col min="15" max="16384" width="9.140625" style="323"/>
  </cols>
  <sheetData>
    <row r="1" spans="1:14" ht="15.75">
      <c r="A1" s="326" t="s">
        <v>900</v>
      </c>
      <c r="B1" s="326"/>
      <c r="D1" s="640" t="s">
        <v>2</v>
      </c>
      <c r="G1" s="436"/>
      <c r="H1" s="1120" t="s">
        <v>734</v>
      </c>
      <c r="I1" s="1120" t="s">
        <v>735</v>
      </c>
      <c r="J1" s="1120" t="s">
        <v>736</v>
      </c>
      <c r="K1" s="1120" t="s">
        <v>737</v>
      </c>
      <c r="L1" s="1120" t="s">
        <v>738</v>
      </c>
      <c r="M1" s="1121" t="s">
        <v>739</v>
      </c>
    </row>
    <row r="2" spans="1:14" ht="15.75">
      <c r="A2" s="327" t="str">
        <f>SchoolName</f>
        <v>Strong Start Academy Elementary School</v>
      </c>
      <c r="B2" s="327"/>
      <c r="G2" s="436"/>
      <c r="H2" s="1179">
        <f>+' Enrol &amp; Rev'!H10</f>
        <v>2022</v>
      </c>
      <c r="I2" s="1180">
        <f>+H3</f>
        <v>2023</v>
      </c>
      <c r="J2" s="1180">
        <f>+I3</f>
        <v>2024</v>
      </c>
      <c r="K2" s="1180">
        <f>+J3</f>
        <v>2025</v>
      </c>
      <c r="L2" s="1180">
        <f>+K3</f>
        <v>2026</v>
      </c>
      <c r="M2" s="1181">
        <f>+L3</f>
        <v>2027</v>
      </c>
    </row>
    <row r="3" spans="1:14" ht="15.75">
      <c r="A3" s="324" t="s">
        <v>62</v>
      </c>
      <c r="G3" s="436"/>
      <c r="H3" s="1182">
        <f t="shared" ref="H3:M3" si="0">+H2+1</f>
        <v>2023</v>
      </c>
      <c r="I3" s="1183">
        <f t="shared" si="0"/>
        <v>2024</v>
      </c>
      <c r="J3" s="1183">
        <f t="shared" si="0"/>
        <v>2025</v>
      </c>
      <c r="K3" s="1183">
        <f t="shared" si="0"/>
        <v>2026</v>
      </c>
      <c r="L3" s="1183">
        <f t="shared" si="0"/>
        <v>2027</v>
      </c>
      <c r="M3" s="1184">
        <f t="shared" si="0"/>
        <v>2028</v>
      </c>
    </row>
    <row r="4" spans="1:14" ht="15">
      <c r="A4" s="325" t="s">
        <v>63</v>
      </c>
      <c r="F4" s="323" t="s">
        <v>901</v>
      </c>
      <c r="H4" s="352">
        <f>+' Enrol &amp; Rev'!H34</f>
        <v>180</v>
      </c>
      <c r="I4" s="352">
        <f>+' Enrol &amp; Rev'!I34</f>
        <v>240</v>
      </c>
      <c r="J4" s="352">
        <f>+' Enrol &amp; Rev'!J34</f>
        <v>300</v>
      </c>
      <c r="K4" s="352">
        <f>+' Enrol &amp; Rev'!K34</f>
        <v>360</v>
      </c>
      <c r="L4" s="352">
        <f>+' Enrol &amp; Rev'!L34</f>
        <v>360</v>
      </c>
      <c r="M4" s="352">
        <f>+' Enrol &amp; Rev'!M34</f>
        <v>360</v>
      </c>
    </row>
    <row r="5" spans="1:14" ht="15">
      <c r="A5" s="355" t="str">
        <f ca="1">CELL("filename")</f>
        <v>C:\Users\rsaucedo\OneDrive - City of Las Vegas\CLV Charter School\[Strong Start Academy Elementary School Financial Workbook 2021.xlsx]Incubation</v>
      </c>
      <c r="F5" s="323" t="s">
        <v>902</v>
      </c>
      <c r="H5" s="354">
        <f>+' Enrol &amp; Rev'!H17</f>
        <v>9</v>
      </c>
      <c r="I5" s="354">
        <f>+' Enrol &amp; Rev'!I17</f>
        <v>12</v>
      </c>
      <c r="J5" s="354">
        <f>+' Enrol &amp; Rev'!J17</f>
        <v>15</v>
      </c>
      <c r="K5" s="354">
        <f>+' Enrol &amp; Rev'!K17</f>
        <v>18</v>
      </c>
      <c r="L5" s="354">
        <f>+' Enrol &amp; Rev'!L17</f>
        <v>18</v>
      </c>
      <c r="M5" s="354">
        <f>+' Enrol &amp; Rev'!M17</f>
        <v>18</v>
      </c>
    </row>
    <row r="6" spans="1:14" ht="15">
      <c r="F6" s="323" t="s">
        <v>903</v>
      </c>
      <c r="H6" s="354">
        <f>IFERROR(H4/H5,0)</f>
        <v>20</v>
      </c>
      <c r="I6" s="354">
        <f t="shared" ref="I6:M6" si="1">IFERROR(I4/I5,0)</f>
        <v>20</v>
      </c>
      <c r="J6" s="354">
        <f t="shared" si="1"/>
        <v>20</v>
      </c>
      <c r="K6" s="354">
        <f t="shared" si="1"/>
        <v>20</v>
      </c>
      <c r="L6" s="354">
        <f t="shared" si="1"/>
        <v>20</v>
      </c>
      <c r="M6" s="354">
        <f t="shared" si="1"/>
        <v>20</v>
      </c>
    </row>
    <row r="7" spans="1:14" ht="17.25" customHeight="1">
      <c r="A7" s="1185" t="s">
        <v>904</v>
      </c>
      <c r="B7" s="1186"/>
      <c r="C7" s="1186"/>
      <c r="D7" s="1186"/>
      <c r="E7" s="1186"/>
      <c r="F7" s="1186"/>
      <c r="G7" s="1186"/>
      <c r="H7" s="1186"/>
      <c r="I7" s="1186"/>
      <c r="J7" s="1186"/>
      <c r="K7" s="1186"/>
      <c r="L7" s="1186"/>
      <c r="M7" s="1186"/>
      <c r="N7" s="353"/>
    </row>
    <row r="8" spans="1:14" ht="19.5" customHeight="1">
      <c r="A8" s="346" t="s">
        <v>905</v>
      </c>
      <c r="B8" s="348" t="s">
        <v>906</v>
      </c>
      <c r="C8" s="349" t="s">
        <v>907</v>
      </c>
      <c r="D8" s="349" t="s">
        <v>908</v>
      </c>
      <c r="E8" s="350" t="s">
        <v>909</v>
      </c>
      <c r="F8" s="1910" t="s">
        <v>910</v>
      </c>
      <c r="G8" s="1911"/>
      <c r="H8" s="1910" t="s">
        <v>911</v>
      </c>
      <c r="I8" s="1911"/>
      <c r="J8" s="1910" t="s">
        <v>912</v>
      </c>
      <c r="K8" s="1911"/>
      <c r="L8" s="1910" t="s">
        <v>913</v>
      </c>
      <c r="M8" s="1911"/>
    </row>
    <row r="9" spans="1:14" ht="15">
      <c r="A9" s="365" t="s">
        <v>420</v>
      </c>
      <c r="B9" s="368" t="s">
        <v>914</v>
      </c>
      <c r="C9" s="347"/>
      <c r="D9" s="347"/>
      <c r="E9" s="369"/>
      <c r="F9" s="437">
        <v>500</v>
      </c>
      <c r="G9" s="377"/>
      <c r="H9" s="437">
        <v>400</v>
      </c>
      <c r="I9" s="385"/>
      <c r="J9" s="437">
        <f>+H4</f>
        <v>180</v>
      </c>
      <c r="K9" s="385"/>
      <c r="L9" s="437">
        <f>+K4</f>
        <v>360</v>
      </c>
      <c r="M9" s="385"/>
    </row>
    <row r="10" spans="1:14" ht="15">
      <c r="A10" s="366" t="s">
        <v>915</v>
      </c>
      <c r="B10" s="370" t="s">
        <v>916</v>
      </c>
      <c r="C10" s="339"/>
      <c r="D10" s="339"/>
      <c r="E10" s="371"/>
      <c r="F10" s="378"/>
      <c r="G10" s="379"/>
      <c r="H10" s="386"/>
      <c r="I10" s="387"/>
      <c r="J10" s="386"/>
      <c r="K10" s="387"/>
      <c r="L10" s="386"/>
      <c r="M10" s="385"/>
    </row>
    <row r="11" spans="1:14" ht="15">
      <c r="A11" s="366" t="s">
        <v>917</v>
      </c>
      <c r="B11" s="370" t="s">
        <v>918</v>
      </c>
      <c r="C11" s="339"/>
      <c r="D11" s="339"/>
      <c r="E11" s="371"/>
      <c r="F11" s="437">
        <v>25</v>
      </c>
      <c r="G11" s="379"/>
      <c r="H11" s="446">
        <v>25</v>
      </c>
      <c r="I11" s="387"/>
      <c r="J11" s="451">
        <v>25</v>
      </c>
      <c r="K11" s="387"/>
      <c r="L11" s="451">
        <f>+K6</f>
        <v>20</v>
      </c>
      <c r="M11" s="385"/>
    </row>
    <row r="12" spans="1:14" ht="15">
      <c r="A12" s="366" t="s">
        <v>919</v>
      </c>
      <c r="B12" s="370" t="s">
        <v>920</v>
      </c>
      <c r="C12" s="351">
        <v>55</v>
      </c>
      <c r="D12" s="351">
        <v>100</v>
      </c>
      <c r="E12" s="439">
        <f>AVERAGE(C12:D12)</f>
        <v>77.5</v>
      </c>
      <c r="F12" s="438">
        <v>600</v>
      </c>
      <c r="G12" s="380">
        <f>+F12*$E$12</f>
        <v>46500</v>
      </c>
      <c r="H12" s="447">
        <v>800</v>
      </c>
      <c r="I12" s="380">
        <f>+H12*$E$12</f>
        <v>62000</v>
      </c>
      <c r="J12" s="447">
        <v>45000</v>
      </c>
      <c r="K12" s="380">
        <f>+J12*$E$12</f>
        <v>3487500</v>
      </c>
      <c r="L12" s="447">
        <v>700</v>
      </c>
      <c r="M12" s="380">
        <f>+L12*$E$12</f>
        <v>54250</v>
      </c>
    </row>
    <row r="13" spans="1:14" ht="15">
      <c r="A13" s="366"/>
      <c r="B13" s="370"/>
      <c r="C13" s="339"/>
      <c r="D13" s="339"/>
      <c r="E13" s="372"/>
      <c r="F13" s="381"/>
      <c r="G13" s="377"/>
      <c r="H13" s="381"/>
      <c r="I13" s="385"/>
      <c r="J13" s="381"/>
      <c r="K13" s="385"/>
      <c r="L13" s="381"/>
      <c r="M13" s="385"/>
    </row>
    <row r="14" spans="1:14" ht="15">
      <c r="A14" s="365" t="s">
        <v>921</v>
      </c>
      <c r="B14" s="370"/>
      <c r="C14" s="339"/>
      <c r="D14" s="339"/>
      <c r="E14" s="372"/>
      <c r="F14" s="378"/>
      <c r="G14" s="377"/>
      <c r="H14" s="378"/>
      <c r="I14" s="385"/>
      <c r="J14" s="378"/>
      <c r="K14" s="385"/>
      <c r="L14" s="378"/>
      <c r="M14" s="385"/>
    </row>
    <row r="15" spans="1:14" ht="24" customHeight="1">
      <c r="A15" s="366" t="s">
        <v>922</v>
      </c>
      <c r="B15" s="370" t="s">
        <v>923</v>
      </c>
      <c r="C15" s="340">
        <v>750</v>
      </c>
      <c r="D15" s="340">
        <v>1000</v>
      </c>
      <c r="E15" s="440">
        <v>850</v>
      </c>
      <c r="F15" s="378">
        <f>+F9/F11</f>
        <v>20</v>
      </c>
      <c r="G15" s="382">
        <f>+F15*$E15</f>
        <v>17000</v>
      </c>
      <c r="H15" s="378">
        <f>+H9/H11</f>
        <v>16</v>
      </c>
      <c r="I15" s="382">
        <f>+H15*$E15</f>
        <v>13600</v>
      </c>
      <c r="J15" s="716">
        <f>IFERROR(J9/J11,0)</f>
        <v>7.2</v>
      </c>
      <c r="K15" s="382">
        <f>+J15*$E15</f>
        <v>6120</v>
      </c>
      <c r="L15" s="716">
        <f>IFERROR(L9/L11,0)</f>
        <v>18</v>
      </c>
      <c r="M15" s="382">
        <f>+L15*$E15</f>
        <v>15300</v>
      </c>
    </row>
    <row r="16" spans="1:14" ht="15">
      <c r="A16" s="366" t="s">
        <v>924</v>
      </c>
      <c r="B16" s="370" t="s">
        <v>925</v>
      </c>
      <c r="C16" s="340">
        <v>850</v>
      </c>
      <c r="D16" s="340">
        <v>1200</v>
      </c>
      <c r="E16" s="440">
        <v>1000</v>
      </c>
      <c r="F16" s="441">
        <v>2</v>
      </c>
      <c r="G16" s="383">
        <f t="shared" ref="G16:G28" si="2">+$E16*F16</f>
        <v>2000</v>
      </c>
      <c r="H16" s="437">
        <v>2</v>
      </c>
      <c r="I16" s="383">
        <f t="shared" ref="I16:I28" si="3">+$E16*H16</f>
        <v>2000</v>
      </c>
      <c r="J16" s="449">
        <v>2</v>
      </c>
      <c r="K16" s="383">
        <f t="shared" ref="K16:K28" si="4">+$E16*J16</f>
        <v>2000</v>
      </c>
      <c r="L16" s="449">
        <v>2</v>
      </c>
      <c r="M16" s="383">
        <f t="shared" ref="M16:M28" si="5">+$E16*L16</f>
        <v>2000</v>
      </c>
    </row>
    <row r="17" spans="1:13" ht="15">
      <c r="A17" s="366" t="s">
        <v>926</v>
      </c>
      <c r="B17" s="370" t="s">
        <v>927</v>
      </c>
      <c r="C17" s="340">
        <v>850</v>
      </c>
      <c r="D17" s="340">
        <v>1200</v>
      </c>
      <c r="E17" s="440">
        <v>1000</v>
      </c>
      <c r="F17" s="442">
        <v>1</v>
      </c>
      <c r="G17" s="383">
        <f t="shared" si="2"/>
        <v>1000</v>
      </c>
      <c r="H17" s="437">
        <v>1</v>
      </c>
      <c r="I17" s="383">
        <f t="shared" si="3"/>
        <v>1000</v>
      </c>
      <c r="J17" s="449">
        <v>1</v>
      </c>
      <c r="K17" s="383">
        <f t="shared" si="4"/>
        <v>1000</v>
      </c>
      <c r="L17" s="449">
        <v>1</v>
      </c>
      <c r="M17" s="383">
        <f t="shared" si="5"/>
        <v>1000</v>
      </c>
    </row>
    <row r="18" spans="1:13" ht="31.5" customHeight="1">
      <c r="A18" s="366" t="s">
        <v>928</v>
      </c>
      <c r="B18" s="370" t="s">
        <v>929</v>
      </c>
      <c r="C18" s="340"/>
      <c r="D18" s="340"/>
      <c r="E18" s="440">
        <v>400</v>
      </c>
      <c r="F18" s="442">
        <v>2</v>
      </c>
      <c r="G18" s="383">
        <f t="shared" si="2"/>
        <v>800</v>
      </c>
      <c r="H18" s="437">
        <v>2</v>
      </c>
      <c r="I18" s="383">
        <f t="shared" si="3"/>
        <v>800</v>
      </c>
      <c r="J18" s="449">
        <v>2</v>
      </c>
      <c r="K18" s="383">
        <f t="shared" si="4"/>
        <v>800</v>
      </c>
      <c r="L18" s="449">
        <v>2</v>
      </c>
      <c r="M18" s="383">
        <f t="shared" si="5"/>
        <v>800</v>
      </c>
    </row>
    <row r="19" spans="1:13" ht="27.75" customHeight="1">
      <c r="A19" s="366" t="s">
        <v>930</v>
      </c>
      <c r="B19" s="370" t="s">
        <v>931</v>
      </c>
      <c r="C19" s="340"/>
      <c r="D19" s="340"/>
      <c r="E19" s="440">
        <v>100</v>
      </c>
      <c r="F19" s="442">
        <v>4</v>
      </c>
      <c r="G19" s="383">
        <f t="shared" si="2"/>
        <v>400</v>
      </c>
      <c r="H19" s="437">
        <v>4</v>
      </c>
      <c r="I19" s="383">
        <f t="shared" si="3"/>
        <v>400</v>
      </c>
      <c r="J19" s="449">
        <v>4</v>
      </c>
      <c r="K19" s="383">
        <f t="shared" si="4"/>
        <v>400</v>
      </c>
      <c r="L19" s="449">
        <v>4</v>
      </c>
      <c r="M19" s="383">
        <f t="shared" si="5"/>
        <v>400</v>
      </c>
    </row>
    <row r="20" spans="1:13" ht="15">
      <c r="A20" s="366" t="s">
        <v>932</v>
      </c>
      <c r="B20" s="370" t="s">
        <v>933</v>
      </c>
      <c r="C20" s="340"/>
      <c r="D20" s="340"/>
      <c r="E20" s="440">
        <v>400</v>
      </c>
      <c r="F20" s="442">
        <v>1</v>
      </c>
      <c r="G20" s="383">
        <f t="shared" si="2"/>
        <v>400</v>
      </c>
      <c r="H20" s="437">
        <v>1</v>
      </c>
      <c r="I20" s="383">
        <f t="shared" si="3"/>
        <v>400</v>
      </c>
      <c r="J20" s="449">
        <v>0.25</v>
      </c>
      <c r="K20" s="383">
        <f t="shared" si="4"/>
        <v>100</v>
      </c>
      <c r="L20" s="449">
        <v>1</v>
      </c>
      <c r="M20" s="383">
        <f t="shared" si="5"/>
        <v>400</v>
      </c>
    </row>
    <row r="21" spans="1:13" ht="15">
      <c r="A21" s="366" t="s">
        <v>934</v>
      </c>
      <c r="B21" s="370" t="s">
        <v>935</v>
      </c>
      <c r="C21" s="340">
        <v>70</v>
      </c>
      <c r="D21" s="340">
        <v>100</v>
      </c>
      <c r="E21" s="440">
        <v>100</v>
      </c>
      <c r="F21" s="442">
        <v>4</v>
      </c>
      <c r="G21" s="383">
        <f t="shared" si="2"/>
        <v>400</v>
      </c>
      <c r="H21" s="437">
        <v>4</v>
      </c>
      <c r="I21" s="383">
        <f t="shared" si="3"/>
        <v>400</v>
      </c>
      <c r="J21" s="449">
        <v>2</v>
      </c>
      <c r="K21" s="383">
        <f t="shared" si="4"/>
        <v>200</v>
      </c>
      <c r="L21" s="449">
        <v>4</v>
      </c>
      <c r="M21" s="383">
        <f t="shared" si="5"/>
        <v>400</v>
      </c>
    </row>
    <row r="22" spans="1:13" ht="15">
      <c r="A22" s="366" t="s">
        <v>936</v>
      </c>
      <c r="B22" s="370" t="s">
        <v>937</v>
      </c>
      <c r="C22" s="340"/>
      <c r="D22" s="340"/>
      <c r="E22" s="440">
        <v>400</v>
      </c>
      <c r="F22" s="442">
        <v>1</v>
      </c>
      <c r="G22" s="383">
        <f t="shared" si="2"/>
        <v>400</v>
      </c>
      <c r="H22" s="437">
        <v>1</v>
      </c>
      <c r="I22" s="383">
        <f t="shared" si="3"/>
        <v>400</v>
      </c>
      <c r="J22" s="449">
        <v>1</v>
      </c>
      <c r="K22" s="383">
        <f t="shared" si="4"/>
        <v>400</v>
      </c>
      <c r="L22" s="449">
        <v>1</v>
      </c>
      <c r="M22" s="383">
        <f t="shared" si="5"/>
        <v>400</v>
      </c>
    </row>
    <row r="23" spans="1:13" ht="15">
      <c r="A23" s="366" t="s">
        <v>938</v>
      </c>
      <c r="B23" s="370" t="s">
        <v>939</v>
      </c>
      <c r="C23" s="340"/>
      <c r="D23" s="340"/>
      <c r="E23" s="440">
        <v>600</v>
      </c>
      <c r="F23" s="442">
        <v>1</v>
      </c>
      <c r="G23" s="383">
        <f t="shared" si="2"/>
        <v>600</v>
      </c>
      <c r="H23" s="437">
        <v>1</v>
      </c>
      <c r="I23" s="383">
        <f t="shared" si="3"/>
        <v>600</v>
      </c>
      <c r="J23" s="449">
        <v>0</v>
      </c>
      <c r="K23" s="383">
        <f t="shared" si="4"/>
        <v>0</v>
      </c>
      <c r="L23" s="449">
        <v>1</v>
      </c>
      <c r="M23" s="383">
        <f t="shared" si="5"/>
        <v>600</v>
      </c>
    </row>
    <row r="24" spans="1:13" ht="15">
      <c r="A24" s="366" t="s">
        <v>940</v>
      </c>
      <c r="B24" s="370" t="s">
        <v>941</v>
      </c>
      <c r="C24" s="340"/>
      <c r="D24" s="340"/>
      <c r="E24" s="440">
        <v>1500</v>
      </c>
      <c r="F24" s="442">
        <v>1</v>
      </c>
      <c r="G24" s="383">
        <f t="shared" si="2"/>
        <v>1500</v>
      </c>
      <c r="H24" s="437">
        <v>1</v>
      </c>
      <c r="I24" s="383">
        <f t="shared" si="3"/>
        <v>1500</v>
      </c>
      <c r="J24" s="449">
        <v>1</v>
      </c>
      <c r="K24" s="383">
        <f t="shared" si="4"/>
        <v>1500</v>
      </c>
      <c r="L24" s="449">
        <v>1</v>
      </c>
      <c r="M24" s="383">
        <f t="shared" si="5"/>
        <v>1500</v>
      </c>
    </row>
    <row r="25" spans="1:13" ht="15">
      <c r="A25" s="366" t="s">
        <v>942</v>
      </c>
      <c r="B25" s="370" t="s">
        <v>943</v>
      </c>
      <c r="C25" s="340"/>
      <c r="D25" s="340"/>
      <c r="E25" s="440">
        <v>200</v>
      </c>
      <c r="F25" s="442">
        <v>1</v>
      </c>
      <c r="G25" s="383">
        <f t="shared" si="2"/>
        <v>200</v>
      </c>
      <c r="H25" s="437">
        <v>1</v>
      </c>
      <c r="I25" s="383">
        <f t="shared" si="3"/>
        <v>200</v>
      </c>
      <c r="J25" s="449">
        <v>0.5</v>
      </c>
      <c r="K25" s="383">
        <f t="shared" si="4"/>
        <v>100</v>
      </c>
      <c r="L25" s="449">
        <v>1</v>
      </c>
      <c r="M25" s="383">
        <f t="shared" si="5"/>
        <v>200</v>
      </c>
    </row>
    <row r="26" spans="1:13" ht="15">
      <c r="A26" s="366" t="s">
        <v>944</v>
      </c>
      <c r="B26" s="370" t="s">
        <v>945</v>
      </c>
      <c r="C26" s="340"/>
      <c r="D26" s="340"/>
      <c r="E26" s="440">
        <v>400</v>
      </c>
      <c r="F26" s="442">
        <v>2</v>
      </c>
      <c r="G26" s="383">
        <f t="shared" si="2"/>
        <v>800</v>
      </c>
      <c r="H26" s="437">
        <v>2</v>
      </c>
      <c r="I26" s="383">
        <f t="shared" si="3"/>
        <v>800</v>
      </c>
      <c r="J26" s="449">
        <v>2</v>
      </c>
      <c r="K26" s="383">
        <f t="shared" si="4"/>
        <v>800</v>
      </c>
      <c r="L26" s="449">
        <v>2</v>
      </c>
      <c r="M26" s="383">
        <f t="shared" si="5"/>
        <v>800</v>
      </c>
    </row>
    <row r="27" spans="1:13" ht="15">
      <c r="A27" s="366" t="s">
        <v>946</v>
      </c>
      <c r="B27" s="370" t="s">
        <v>947</v>
      </c>
      <c r="C27" s="340"/>
      <c r="D27" s="340"/>
      <c r="E27" s="440">
        <v>100</v>
      </c>
      <c r="F27" s="442">
        <v>3</v>
      </c>
      <c r="G27" s="383">
        <f t="shared" si="2"/>
        <v>300</v>
      </c>
      <c r="H27" s="437">
        <v>3</v>
      </c>
      <c r="I27" s="383">
        <f t="shared" si="3"/>
        <v>300</v>
      </c>
      <c r="J27" s="449">
        <v>3</v>
      </c>
      <c r="K27" s="383">
        <f t="shared" si="4"/>
        <v>300</v>
      </c>
      <c r="L27" s="449">
        <v>3</v>
      </c>
      <c r="M27" s="383">
        <f t="shared" si="5"/>
        <v>300</v>
      </c>
    </row>
    <row r="28" spans="1:13" ht="30">
      <c r="A28" s="366" t="s">
        <v>948</v>
      </c>
      <c r="B28" s="370" t="s">
        <v>949</v>
      </c>
      <c r="C28" s="340"/>
      <c r="D28" s="340"/>
      <c r="E28" s="440">
        <v>4000</v>
      </c>
      <c r="F28" s="442">
        <v>1</v>
      </c>
      <c r="G28" s="383">
        <f t="shared" si="2"/>
        <v>4000</v>
      </c>
      <c r="H28" s="437">
        <v>0</v>
      </c>
      <c r="I28" s="383">
        <f t="shared" si="3"/>
        <v>0</v>
      </c>
      <c r="J28" s="449">
        <v>0</v>
      </c>
      <c r="K28" s="383">
        <f t="shared" si="4"/>
        <v>0</v>
      </c>
      <c r="L28" s="449">
        <v>0</v>
      </c>
      <c r="M28" s="383">
        <f t="shared" si="5"/>
        <v>0</v>
      </c>
    </row>
    <row r="29" spans="1:13" ht="30">
      <c r="A29" s="366" t="s">
        <v>950</v>
      </c>
      <c r="B29" s="370" t="s">
        <v>951</v>
      </c>
      <c r="C29" s="340">
        <v>7</v>
      </c>
      <c r="D29" s="340">
        <v>10</v>
      </c>
      <c r="E29" s="373" t="s">
        <v>952</v>
      </c>
      <c r="F29" s="443">
        <v>0</v>
      </c>
      <c r="G29" s="383">
        <f>+F29*F9</f>
        <v>0</v>
      </c>
      <c r="H29" s="443">
        <v>7</v>
      </c>
      <c r="I29" s="383">
        <f>+H29*H9</f>
        <v>2800</v>
      </c>
      <c r="J29" s="443">
        <v>7</v>
      </c>
      <c r="K29" s="383">
        <f>+J29*J9</f>
        <v>1260</v>
      </c>
      <c r="L29" s="443">
        <v>7</v>
      </c>
      <c r="M29" s="383">
        <f>+L29*L9</f>
        <v>2520</v>
      </c>
    </row>
    <row r="30" spans="1:13" ht="15">
      <c r="A30" s="366" t="s">
        <v>953</v>
      </c>
      <c r="B30" s="370" t="s">
        <v>954</v>
      </c>
      <c r="C30" s="340"/>
      <c r="D30" s="340"/>
      <c r="E30" s="440">
        <v>1000</v>
      </c>
      <c r="F30" s="442">
        <v>1</v>
      </c>
      <c r="G30" s="383">
        <f>+$E30*F30</f>
        <v>1000</v>
      </c>
      <c r="H30" s="437">
        <v>1</v>
      </c>
      <c r="I30" s="383">
        <f>+$E30*H30</f>
        <v>1000</v>
      </c>
      <c r="J30" s="449">
        <v>1</v>
      </c>
      <c r="K30" s="383">
        <f>+$E30*J30</f>
        <v>1000</v>
      </c>
      <c r="L30" s="449">
        <v>1</v>
      </c>
      <c r="M30" s="383">
        <f>+$E30*L30</f>
        <v>1000</v>
      </c>
    </row>
    <row r="31" spans="1:13" ht="15">
      <c r="A31" s="366" t="s">
        <v>955</v>
      </c>
      <c r="B31" s="370" t="s">
        <v>956</v>
      </c>
      <c r="C31" s="340"/>
      <c r="D31" s="340"/>
      <c r="E31" s="440">
        <v>300</v>
      </c>
      <c r="F31" s="442">
        <v>2</v>
      </c>
      <c r="G31" s="383">
        <f>+$E31*F31</f>
        <v>600</v>
      </c>
      <c r="H31" s="437">
        <v>2</v>
      </c>
      <c r="I31" s="383">
        <f>+$E31*H31</f>
        <v>600</v>
      </c>
      <c r="J31" s="449">
        <v>1</v>
      </c>
      <c r="K31" s="383">
        <f>+$E31*J31</f>
        <v>300</v>
      </c>
      <c r="L31" s="449">
        <v>2</v>
      </c>
      <c r="M31" s="383">
        <f>+$E31*L31</f>
        <v>600</v>
      </c>
    </row>
    <row r="32" spans="1:13" ht="15">
      <c r="A32" s="366" t="s">
        <v>957</v>
      </c>
      <c r="B32" s="370" t="s">
        <v>958</v>
      </c>
      <c r="C32" s="340"/>
      <c r="D32" s="340"/>
      <c r="E32" s="440">
        <v>150</v>
      </c>
      <c r="F32" s="442">
        <v>1</v>
      </c>
      <c r="G32" s="383">
        <f>+$E32*F32</f>
        <v>150</v>
      </c>
      <c r="H32" s="437">
        <v>1</v>
      </c>
      <c r="I32" s="383">
        <f>+$E32*H32</f>
        <v>150</v>
      </c>
      <c r="J32" s="449">
        <v>0.2</v>
      </c>
      <c r="K32" s="383">
        <f>+$E32*J32</f>
        <v>30</v>
      </c>
      <c r="L32" s="449">
        <v>1</v>
      </c>
      <c r="M32" s="383">
        <f>+$E32*L32</f>
        <v>150</v>
      </c>
    </row>
    <row r="33" spans="1:13" ht="15">
      <c r="A33" s="366" t="s">
        <v>959</v>
      </c>
      <c r="B33" s="370" t="s">
        <v>960</v>
      </c>
      <c r="C33" s="340"/>
      <c r="D33" s="340"/>
      <c r="E33" s="440">
        <v>250</v>
      </c>
      <c r="F33" s="442">
        <v>1</v>
      </c>
      <c r="G33" s="383">
        <f>+$E33*F33</f>
        <v>250</v>
      </c>
      <c r="H33" s="437">
        <v>1</v>
      </c>
      <c r="I33" s="383">
        <f>+$E33*H33</f>
        <v>250</v>
      </c>
      <c r="J33" s="449">
        <v>0.2</v>
      </c>
      <c r="K33" s="383">
        <f>+$E33*J33</f>
        <v>50</v>
      </c>
      <c r="L33" s="449">
        <v>1</v>
      </c>
      <c r="M33" s="383">
        <f>+$E33*L33</f>
        <v>250</v>
      </c>
    </row>
    <row r="34" spans="1:13" ht="30">
      <c r="A34" s="367" t="s">
        <v>961</v>
      </c>
      <c r="B34" s="374" t="s">
        <v>962</v>
      </c>
      <c r="C34" s="341"/>
      <c r="D34" s="341"/>
      <c r="E34" s="445">
        <v>200</v>
      </c>
      <c r="F34" s="444">
        <v>1</v>
      </c>
      <c r="G34" s="384">
        <f>+$E34*F34</f>
        <v>200</v>
      </c>
      <c r="H34" s="448">
        <v>1</v>
      </c>
      <c r="I34" s="384">
        <f>+$E34*H34</f>
        <v>200</v>
      </c>
      <c r="J34" s="450">
        <v>0.5</v>
      </c>
      <c r="K34" s="384">
        <f>+$E34*J34</f>
        <v>100</v>
      </c>
      <c r="L34" s="450">
        <v>1</v>
      </c>
      <c r="M34" s="384">
        <f>+$E34*L34</f>
        <v>200</v>
      </c>
    </row>
    <row r="35" spans="1:13" ht="30">
      <c r="A35" s="328" t="s">
        <v>963</v>
      </c>
      <c r="B35" s="375"/>
      <c r="C35" s="338"/>
      <c r="D35" s="338"/>
      <c r="E35" s="376"/>
      <c r="F35" s="337"/>
      <c r="G35" s="329">
        <f>SUM(G15:G34)</f>
        <v>32000</v>
      </c>
      <c r="H35" s="330"/>
      <c r="I35" s="329">
        <f>SUM(I15:I34)</f>
        <v>27400</v>
      </c>
      <c r="J35" s="330"/>
      <c r="K35" s="329">
        <f>SUM(K15:K34)</f>
        <v>16460</v>
      </c>
      <c r="L35" s="330"/>
      <c r="M35" s="329">
        <f>SUM(M15:M34)</f>
        <v>28820</v>
      </c>
    </row>
    <row r="36" spans="1:13" ht="15">
      <c r="A36" s="331" t="s">
        <v>964</v>
      </c>
      <c r="B36" s="390" t="s">
        <v>965</v>
      </c>
      <c r="C36" s="391"/>
      <c r="D36" s="391"/>
      <c r="E36" s="452">
        <v>0.15</v>
      </c>
      <c r="F36" s="388"/>
      <c r="G36" s="332">
        <f>+G35*$E36</f>
        <v>4800</v>
      </c>
      <c r="H36" s="333"/>
      <c r="I36" s="332">
        <f>+I35*$E36</f>
        <v>4110</v>
      </c>
      <c r="J36" s="333"/>
      <c r="K36" s="332">
        <f>+K35*$E36</f>
        <v>2469</v>
      </c>
      <c r="L36" s="333"/>
      <c r="M36" s="332">
        <f>+M35*$E36</f>
        <v>4323</v>
      </c>
    </row>
    <row r="37" spans="1:13" ht="15">
      <c r="A37" s="342" t="s">
        <v>966</v>
      </c>
      <c r="B37" s="343" t="s">
        <v>967</v>
      </c>
      <c r="C37" s="334"/>
      <c r="D37" s="334"/>
      <c r="E37" s="334"/>
      <c r="F37" s="334"/>
      <c r="G37" s="356">
        <f>+G35+G36</f>
        <v>36800</v>
      </c>
      <c r="H37" s="357"/>
      <c r="I37" s="356">
        <f>+I35+I36</f>
        <v>31510</v>
      </c>
      <c r="J37" s="357"/>
      <c r="K37" s="356">
        <f>+K35+K36</f>
        <v>18929</v>
      </c>
      <c r="L37" s="357"/>
      <c r="M37" s="356">
        <f>+M35+M36</f>
        <v>33143</v>
      </c>
    </row>
    <row r="38" spans="1:13" ht="15">
      <c r="A38" s="344" t="s">
        <v>968</v>
      </c>
      <c r="B38" s="345" t="s">
        <v>969</v>
      </c>
      <c r="C38" s="334"/>
      <c r="D38" s="334"/>
      <c r="E38" s="334"/>
      <c r="F38" s="334"/>
      <c r="G38" s="335">
        <f>+G37/F9</f>
        <v>73.599999999999994</v>
      </c>
      <c r="H38" s="336"/>
      <c r="I38" s="335">
        <f>+I37/H9</f>
        <v>78.775000000000006</v>
      </c>
      <c r="J38" s="336"/>
      <c r="K38" s="335">
        <f>+K37/J9</f>
        <v>105.16111111111111</v>
      </c>
      <c r="L38" s="336"/>
      <c r="M38" s="335">
        <f>+M37/L9</f>
        <v>92.063888888888883</v>
      </c>
    </row>
    <row r="39" spans="1:13" ht="15.75">
      <c r="C39" s="526" t="s">
        <v>970</v>
      </c>
      <c r="D39" s="526"/>
      <c r="E39" s="527">
        <v>1.2</v>
      </c>
      <c r="F39" s="526"/>
      <c r="G39" s="528">
        <f>+$E39*G$37*12</f>
        <v>529920</v>
      </c>
      <c r="H39" s="529" t="s">
        <v>687</v>
      </c>
      <c r="I39" s="528">
        <f>+$E39*I$37*12</f>
        <v>453744</v>
      </c>
      <c r="J39" s="529" t="s">
        <v>687</v>
      </c>
      <c r="K39" s="525">
        <f>+$E39*K$37</f>
        <v>22714.799999999999</v>
      </c>
      <c r="M39" s="525">
        <f>+$E39*M$37</f>
        <v>39771.599999999999</v>
      </c>
    </row>
    <row r="40" spans="1:13" ht="15.75">
      <c r="A40" s="389" t="s">
        <v>971</v>
      </c>
      <c r="C40" s="526" t="s">
        <v>972</v>
      </c>
      <c r="D40" s="526"/>
      <c r="E40" s="527">
        <v>1.5</v>
      </c>
      <c r="F40" s="526"/>
      <c r="G40" s="528">
        <f t="shared" ref="G40:I40" si="6">+$E40*G$37*12</f>
        <v>662400</v>
      </c>
      <c r="H40" s="529" t="s">
        <v>687</v>
      </c>
      <c r="I40" s="528">
        <f t="shared" si="6"/>
        <v>567180</v>
      </c>
      <c r="J40" s="529" t="s">
        <v>687</v>
      </c>
      <c r="K40" s="525">
        <f>+$E40*K$37</f>
        <v>28393.5</v>
      </c>
      <c r="M40" s="525">
        <f>+$E40*M$37</f>
        <v>49714.5</v>
      </c>
    </row>
    <row r="41" spans="1:13">
      <c r="A41" s="323" t="s">
        <v>973</v>
      </c>
    </row>
    <row r="42" spans="1:13">
      <c r="A42" s="323" t="s">
        <v>974</v>
      </c>
    </row>
    <row r="43" spans="1:13">
      <c r="A43" s="323" t="s">
        <v>975</v>
      </c>
    </row>
  </sheetData>
  <sheetProtection algorithmName="SHA-512" hashValue="feOE/6iJIhiwchckgmZEykEPKlnzHyUebyVHfJP7OdgG7xdIM6ofdhlTlCiWrZ34eLxWtUqICwXWxHcddlPb2A==" saltValue="eNym0jQSp6QRM9P34khpAA==" spinCount="100000" sheet="1" objects="1" scenarios="1"/>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tint="-0.34998626667073579"/>
  </sheetPr>
  <dimension ref="A1:U98"/>
  <sheetViews>
    <sheetView workbookViewId="0"/>
  </sheetViews>
  <sheetFormatPr defaultColWidth="9.140625" defaultRowHeight="12.75"/>
  <cols>
    <col min="1" max="1" width="5.140625" style="7" customWidth="1"/>
    <col min="2" max="16384" width="9.140625" style="7"/>
  </cols>
  <sheetData>
    <row r="1" spans="1:11" ht="15.75">
      <c r="A1" s="485" t="s">
        <v>976</v>
      </c>
      <c r="B1" s="485"/>
      <c r="C1" s="485"/>
      <c r="K1" s="578" t="s">
        <v>2</v>
      </c>
    </row>
    <row r="2" spans="1:11" ht="15.75">
      <c r="A2" s="32" t="str">
        <f>SchoolName</f>
        <v>Strong Start Academy Elementary School</v>
      </c>
      <c r="B2" s="35"/>
      <c r="C2" s="35"/>
    </row>
    <row r="3" spans="1:11">
      <c r="A3" s="11" t="s">
        <v>62</v>
      </c>
    </row>
    <row r="4" spans="1:11">
      <c r="A4" s="10" t="s">
        <v>63</v>
      </c>
    </row>
    <row r="5" spans="1:11">
      <c r="A5" s="9" t="str">
        <f ca="1">CELL("filename")</f>
        <v>C:\Users\rsaucedo\OneDrive - City of Las Vegas\CLV Charter School\[Strong Start Academy Elementary School Financial Workbook 2021.xlsx]Incubation</v>
      </c>
    </row>
    <row r="7" spans="1:11">
      <c r="B7" s="569" t="s">
        <v>977</v>
      </c>
      <c r="C7" s="7" t="s">
        <v>978</v>
      </c>
    </row>
    <row r="8" spans="1:11">
      <c r="B8" s="569" t="s">
        <v>979</v>
      </c>
      <c r="C8" s="7" t="s">
        <v>980</v>
      </c>
    </row>
    <row r="9" spans="1:11">
      <c r="C9" s="7" t="s">
        <v>981</v>
      </c>
    </row>
    <row r="10" spans="1:11">
      <c r="C10" s="7" t="s">
        <v>982</v>
      </c>
    </row>
    <row r="11" spans="1:11">
      <c r="C11" s="7" t="s">
        <v>983</v>
      </c>
    </row>
    <row r="12" spans="1:11">
      <c r="C12" s="7" t="s">
        <v>984</v>
      </c>
    </row>
    <row r="25" spans="1:21">
      <c r="A25" s="8" t="s">
        <v>985</v>
      </c>
      <c r="B25" s="8"/>
      <c r="C25" s="8"/>
      <c r="D25" s="8"/>
      <c r="E25" s="8" t="s">
        <v>986</v>
      </c>
      <c r="F25" s="8"/>
      <c r="G25" s="8"/>
      <c r="H25" s="8"/>
      <c r="I25" s="8"/>
      <c r="J25" s="8"/>
      <c r="K25" s="8"/>
      <c r="L25" s="8"/>
      <c r="M25" s="8"/>
      <c r="N25" s="8"/>
      <c r="O25" s="8"/>
      <c r="P25" s="8"/>
    </row>
    <row r="26" spans="1:21">
      <c r="A26" s="8"/>
      <c r="B26" s="8"/>
      <c r="C26" s="8"/>
      <c r="D26" s="8"/>
      <c r="E26" s="8"/>
      <c r="F26" s="8"/>
      <c r="G26" s="8"/>
      <c r="H26" s="8"/>
      <c r="I26" s="8"/>
      <c r="J26" s="8"/>
      <c r="K26" s="8"/>
      <c r="L26" s="8"/>
      <c r="M26" s="8"/>
      <c r="N26" s="8"/>
      <c r="O26" s="8"/>
      <c r="P26" s="8"/>
    </row>
    <row r="27" spans="1:21">
      <c r="A27" s="8"/>
      <c r="B27" s="8"/>
      <c r="C27" s="8"/>
      <c r="D27" s="8"/>
      <c r="E27" s="8"/>
      <c r="F27" s="8"/>
      <c r="G27" s="8"/>
      <c r="H27" s="8"/>
      <c r="I27" s="8"/>
      <c r="J27" s="8"/>
      <c r="K27" s="8"/>
      <c r="L27" s="8"/>
      <c r="M27" s="8"/>
      <c r="N27" s="8"/>
      <c r="O27" s="8"/>
      <c r="P27" s="8"/>
    </row>
    <row r="28" spans="1:21">
      <c r="A28" s="8" t="s">
        <v>987</v>
      </c>
      <c r="B28" s="540">
        <v>1</v>
      </c>
      <c r="C28" s="8"/>
      <c r="D28" s="8"/>
      <c r="E28" s="8"/>
      <c r="F28" s="8"/>
      <c r="G28" s="8"/>
      <c r="H28" s="8"/>
      <c r="I28" s="8"/>
      <c r="J28" s="8"/>
      <c r="K28" s="8"/>
      <c r="L28" s="8"/>
      <c r="M28" s="8"/>
      <c r="N28" s="8"/>
      <c r="O28" s="8"/>
      <c r="P28" s="8"/>
    </row>
    <row r="29" spans="1:21">
      <c r="A29" s="8" t="s">
        <v>987</v>
      </c>
      <c r="B29" s="540">
        <v>2</v>
      </c>
      <c r="C29" s="8"/>
      <c r="D29" s="8"/>
      <c r="E29" s="8"/>
      <c r="F29" s="8"/>
      <c r="G29" s="8"/>
      <c r="H29" s="8"/>
      <c r="I29" s="8"/>
      <c r="J29" s="8"/>
      <c r="K29" s="8"/>
      <c r="L29" s="8"/>
      <c r="M29" s="8"/>
      <c r="N29" s="8"/>
      <c r="O29" s="8"/>
      <c r="P29" s="8"/>
      <c r="U29" s="7" t="s">
        <v>988</v>
      </c>
    </row>
    <row r="30" spans="1:21">
      <c r="A30" s="8" t="s">
        <v>987</v>
      </c>
      <c r="B30" s="540">
        <v>3</v>
      </c>
      <c r="C30" s="8"/>
      <c r="D30" s="8"/>
      <c r="E30" s="8"/>
      <c r="F30" s="8"/>
      <c r="G30" s="8"/>
      <c r="H30" s="8"/>
      <c r="I30" s="8"/>
      <c r="J30" s="8"/>
      <c r="K30" s="8"/>
      <c r="L30" s="8"/>
      <c r="M30" s="8"/>
      <c r="N30" s="8"/>
      <c r="O30" s="8"/>
      <c r="P30" s="8"/>
    </row>
    <row r="31" spans="1:21">
      <c r="A31" s="8" t="s">
        <v>987</v>
      </c>
      <c r="B31" s="540">
        <v>4</v>
      </c>
      <c r="C31" s="8"/>
      <c r="D31" s="8"/>
      <c r="E31" s="8"/>
      <c r="F31" s="8"/>
      <c r="G31" s="8"/>
      <c r="H31" s="8"/>
      <c r="I31" s="8"/>
      <c r="J31" s="8"/>
      <c r="K31" s="8"/>
      <c r="L31" s="8"/>
      <c r="M31" s="8"/>
      <c r="N31" s="8"/>
      <c r="O31" s="8"/>
      <c r="P31" s="8"/>
    </row>
    <row r="32" spans="1:21">
      <c r="A32" s="8" t="s">
        <v>987</v>
      </c>
      <c r="B32" s="540">
        <v>5</v>
      </c>
      <c r="C32" s="8"/>
      <c r="D32" s="8"/>
      <c r="E32" s="8"/>
      <c r="F32" s="8"/>
      <c r="G32" s="8"/>
      <c r="H32" s="8"/>
      <c r="I32" s="8"/>
      <c r="J32" s="8"/>
      <c r="K32" s="8"/>
      <c r="L32" s="8"/>
      <c r="M32" s="8"/>
      <c r="N32" s="8"/>
      <c r="O32" s="8"/>
      <c r="P32" s="8"/>
    </row>
    <row r="33" spans="1:16">
      <c r="A33" s="8" t="s">
        <v>989</v>
      </c>
      <c r="B33" s="8"/>
      <c r="C33" s="8"/>
      <c r="D33" s="8"/>
      <c r="E33" s="8"/>
      <c r="F33" s="8"/>
      <c r="G33" s="8"/>
      <c r="H33" s="8"/>
      <c r="I33" s="8"/>
      <c r="J33" s="8"/>
      <c r="K33" s="8"/>
      <c r="L33" s="8"/>
      <c r="M33" s="8"/>
      <c r="N33" s="8"/>
      <c r="O33" s="8"/>
      <c r="P33" s="8"/>
    </row>
    <row r="34" spans="1:16">
      <c r="A34" s="8" t="s">
        <v>989</v>
      </c>
      <c r="B34" s="8"/>
      <c r="C34" s="8"/>
      <c r="D34" s="8"/>
      <c r="E34" s="8"/>
      <c r="F34" s="8"/>
      <c r="G34" s="8"/>
      <c r="H34" s="8"/>
      <c r="I34" s="8"/>
      <c r="J34" s="8"/>
      <c r="K34" s="8"/>
      <c r="L34" s="8"/>
      <c r="M34" s="8"/>
      <c r="N34" s="8"/>
      <c r="O34" s="8"/>
      <c r="P34" s="8"/>
    </row>
    <row r="35" spans="1:16">
      <c r="A35" s="8" t="s">
        <v>990</v>
      </c>
      <c r="B35" s="8"/>
      <c r="C35" s="8"/>
      <c r="D35" s="8"/>
      <c r="E35" s="8"/>
      <c r="F35" s="8"/>
      <c r="G35" s="8"/>
      <c r="H35" s="8"/>
      <c r="I35" s="8"/>
      <c r="J35" s="8"/>
      <c r="K35" s="8"/>
      <c r="L35" s="8"/>
      <c r="M35" s="8"/>
      <c r="N35" s="8"/>
      <c r="O35" s="8"/>
      <c r="P35" s="8"/>
    </row>
    <row r="36" spans="1:16">
      <c r="A36" s="8" t="s">
        <v>991</v>
      </c>
      <c r="B36" s="8"/>
      <c r="C36" s="8"/>
      <c r="D36" s="8"/>
      <c r="E36" s="8"/>
      <c r="F36" s="8"/>
      <c r="G36" s="8"/>
      <c r="H36" s="8"/>
      <c r="I36" s="8"/>
      <c r="J36" s="8"/>
      <c r="K36" s="8"/>
      <c r="L36" s="8"/>
      <c r="M36" s="8"/>
      <c r="N36" s="8"/>
      <c r="O36" s="8"/>
      <c r="P36" s="8"/>
    </row>
    <row r="37" spans="1:16">
      <c r="A37" s="8" t="s">
        <v>992</v>
      </c>
      <c r="B37" s="8"/>
      <c r="C37" s="8"/>
      <c r="D37" s="8"/>
      <c r="E37" s="8"/>
      <c r="F37" s="8"/>
      <c r="G37" s="8"/>
      <c r="H37" s="8"/>
      <c r="I37" s="8"/>
      <c r="J37" s="8"/>
      <c r="K37" s="8"/>
      <c r="L37" s="8"/>
      <c r="M37" s="8"/>
      <c r="N37" s="8"/>
      <c r="O37" s="8"/>
      <c r="P37" s="8"/>
    </row>
    <row r="38" spans="1:16">
      <c r="A38" s="8" t="s">
        <v>993</v>
      </c>
      <c r="B38" s="8"/>
      <c r="C38" s="8"/>
      <c r="D38" s="8"/>
      <c r="E38" s="8"/>
      <c r="F38" s="8"/>
      <c r="G38" s="8"/>
      <c r="H38" s="8"/>
      <c r="I38" s="8"/>
      <c r="J38" s="8"/>
      <c r="K38" s="8"/>
      <c r="L38" s="8"/>
      <c r="M38" s="8"/>
      <c r="N38" s="8"/>
      <c r="O38" s="8"/>
      <c r="P38" s="8"/>
    </row>
    <row r="39" spans="1:16">
      <c r="A39" s="8" t="s">
        <v>503</v>
      </c>
      <c r="B39" s="8"/>
      <c r="C39" s="8"/>
      <c r="D39" s="8"/>
      <c r="E39" s="8"/>
      <c r="F39" s="8"/>
      <c r="G39" s="8"/>
      <c r="H39" s="8"/>
      <c r="I39" s="8"/>
      <c r="J39" s="8"/>
      <c r="K39" s="8"/>
      <c r="L39" s="8"/>
      <c r="M39" s="8"/>
      <c r="N39" s="8"/>
      <c r="O39" s="8"/>
      <c r="P39" s="8"/>
    </row>
    <row r="40" spans="1:16">
      <c r="A40" s="539" t="s">
        <v>994</v>
      </c>
      <c r="B40" s="8"/>
      <c r="C40" s="8"/>
      <c r="D40" s="8"/>
      <c r="E40" s="8"/>
      <c r="F40" s="8"/>
      <c r="G40" s="8"/>
      <c r="H40" s="8"/>
      <c r="I40" s="8"/>
      <c r="J40" s="8"/>
      <c r="K40" s="8"/>
      <c r="L40" s="8"/>
      <c r="M40" s="8"/>
      <c r="N40" s="8"/>
      <c r="O40" s="8"/>
      <c r="P40" s="8"/>
    </row>
    <row r="41" spans="1:16">
      <c r="A41" s="8" t="s">
        <v>995</v>
      </c>
      <c r="B41" s="8"/>
      <c r="C41" s="8"/>
      <c r="D41" s="8"/>
      <c r="E41" s="8"/>
      <c r="F41" s="8"/>
      <c r="G41" s="8"/>
      <c r="H41" s="8"/>
      <c r="I41" s="8"/>
      <c r="J41" s="8"/>
      <c r="K41" s="8"/>
      <c r="L41" s="8"/>
      <c r="M41" s="8"/>
      <c r="N41" s="8"/>
      <c r="O41" s="8"/>
      <c r="P41" s="8"/>
    </row>
    <row r="42" spans="1:16">
      <c r="A42" s="8" t="s">
        <v>996</v>
      </c>
      <c r="B42" s="8"/>
      <c r="C42" s="8"/>
      <c r="D42" s="8"/>
      <c r="E42" s="8"/>
      <c r="F42" s="8"/>
      <c r="G42" s="8"/>
      <c r="H42" s="8"/>
      <c r="I42" s="8"/>
      <c r="J42" s="8"/>
      <c r="K42" s="8"/>
      <c r="L42" s="8"/>
      <c r="M42" s="8"/>
      <c r="N42" s="8"/>
      <c r="O42" s="8"/>
      <c r="P42" s="8"/>
    </row>
    <row r="43" spans="1:16">
      <c r="A43" s="8" t="s">
        <v>991</v>
      </c>
      <c r="B43" s="8"/>
      <c r="C43" s="8"/>
      <c r="D43" s="8"/>
      <c r="E43" s="8"/>
      <c r="F43" s="8"/>
      <c r="G43" s="8"/>
      <c r="H43" s="8"/>
      <c r="I43" s="8"/>
      <c r="J43" s="8"/>
      <c r="K43" s="8"/>
      <c r="L43" s="8"/>
      <c r="M43" s="8"/>
      <c r="N43" s="8"/>
      <c r="O43" s="8"/>
      <c r="P43" s="8"/>
    </row>
    <row r="44" spans="1:16">
      <c r="A44" s="8"/>
      <c r="B44" s="8"/>
      <c r="C44" s="8"/>
      <c r="D44" s="8"/>
      <c r="E44" s="8"/>
      <c r="F44" s="8"/>
      <c r="G44" s="8"/>
      <c r="H44" s="8"/>
      <c r="I44" s="8"/>
      <c r="J44" s="8"/>
      <c r="K44" s="8"/>
      <c r="L44" s="8"/>
      <c r="M44" s="8"/>
      <c r="N44" s="8"/>
      <c r="O44" s="8"/>
      <c r="P44" s="8"/>
    </row>
    <row r="45" spans="1:16">
      <c r="A45" s="8"/>
      <c r="B45" s="8"/>
      <c r="C45" s="8"/>
      <c r="D45" s="8"/>
      <c r="E45" s="8"/>
      <c r="F45" s="8"/>
      <c r="G45" s="8"/>
      <c r="H45" s="8"/>
      <c r="I45" s="8"/>
      <c r="J45" s="8"/>
      <c r="K45" s="8"/>
      <c r="L45" s="8"/>
      <c r="M45" s="8"/>
      <c r="N45" s="8"/>
      <c r="O45" s="8"/>
      <c r="P45" s="8"/>
    </row>
    <row r="46" spans="1:16">
      <c r="A46" s="8"/>
      <c r="B46" s="8"/>
      <c r="C46" s="8"/>
      <c r="D46" s="8"/>
      <c r="E46" s="8"/>
      <c r="F46" s="8"/>
      <c r="G46" s="8"/>
      <c r="H46" s="8"/>
      <c r="I46" s="8"/>
      <c r="J46" s="8"/>
      <c r="K46" s="8"/>
      <c r="L46" s="8"/>
      <c r="M46" s="8"/>
      <c r="N46" s="8"/>
      <c r="O46" s="8"/>
      <c r="P46" s="8"/>
    </row>
    <row r="47" spans="1:16">
      <c r="A47" s="8"/>
      <c r="B47" s="8"/>
      <c r="C47" s="8"/>
      <c r="D47" s="8"/>
      <c r="E47" s="8"/>
      <c r="F47" s="8"/>
      <c r="G47" s="8"/>
      <c r="H47" s="8"/>
      <c r="I47" s="8"/>
      <c r="J47" s="8"/>
      <c r="K47" s="8"/>
      <c r="L47" s="8"/>
      <c r="M47" s="8"/>
      <c r="N47" s="8"/>
      <c r="O47" s="8"/>
      <c r="P47" s="8"/>
    </row>
    <row r="48" spans="1:16">
      <c r="A48" s="8"/>
      <c r="B48" s="8"/>
      <c r="C48" s="8"/>
      <c r="D48" s="8"/>
      <c r="E48" s="8"/>
      <c r="F48" s="8"/>
      <c r="G48" s="8"/>
      <c r="H48" s="8"/>
      <c r="I48" s="8"/>
      <c r="J48" s="8"/>
      <c r="K48" s="8"/>
      <c r="L48" s="8"/>
      <c r="M48" s="8"/>
      <c r="N48" s="8"/>
      <c r="O48" s="8"/>
      <c r="P48" s="8"/>
    </row>
    <row r="49" spans="1:16">
      <c r="A49" s="8"/>
      <c r="B49" s="8"/>
      <c r="C49" s="8"/>
      <c r="D49" s="8"/>
      <c r="E49" s="8"/>
      <c r="F49" s="8"/>
      <c r="G49" s="8"/>
      <c r="H49" s="8"/>
      <c r="I49" s="8"/>
      <c r="J49" s="8"/>
      <c r="K49" s="8"/>
      <c r="L49" s="8"/>
      <c r="M49" s="8"/>
      <c r="N49" s="8"/>
      <c r="O49" s="8"/>
      <c r="P49" s="8"/>
    </row>
    <row r="50" spans="1:16">
      <c r="A50" s="8"/>
      <c r="B50" s="8"/>
      <c r="C50" s="8"/>
      <c r="D50" s="8"/>
      <c r="E50" s="8"/>
      <c r="F50" s="8"/>
      <c r="G50" s="8"/>
      <c r="H50" s="8"/>
      <c r="I50" s="8"/>
      <c r="J50" s="8"/>
      <c r="K50" s="8"/>
      <c r="L50" s="8"/>
      <c r="M50" s="8"/>
      <c r="N50" s="8"/>
      <c r="O50" s="8"/>
      <c r="P50" s="8"/>
    </row>
    <row r="51" spans="1:16">
      <c r="A51" s="8"/>
      <c r="B51" s="8"/>
      <c r="C51" s="8"/>
      <c r="D51" s="8"/>
      <c r="E51" s="8"/>
      <c r="F51" s="8"/>
      <c r="G51" s="8"/>
      <c r="H51" s="8"/>
      <c r="I51" s="8"/>
      <c r="J51" s="8"/>
      <c r="K51" s="8"/>
      <c r="L51" s="8"/>
      <c r="M51" s="8"/>
      <c r="N51" s="8"/>
      <c r="O51" s="8"/>
      <c r="P51" s="8"/>
    </row>
    <row r="52" spans="1:16">
      <c r="A52" s="8"/>
      <c r="B52" s="8"/>
      <c r="C52" s="8"/>
      <c r="D52" s="8"/>
      <c r="E52" s="8"/>
      <c r="F52" s="8"/>
      <c r="G52" s="8"/>
      <c r="H52" s="8"/>
      <c r="I52" s="8"/>
      <c r="J52" s="8"/>
      <c r="K52" s="8"/>
      <c r="L52" s="8"/>
      <c r="M52" s="8"/>
      <c r="N52" s="8"/>
      <c r="O52" s="8"/>
      <c r="P52" s="8"/>
    </row>
    <row r="53" spans="1:16">
      <c r="A53" s="8"/>
      <c r="B53" s="8"/>
      <c r="C53" s="8"/>
      <c r="D53" s="8"/>
      <c r="E53" s="8"/>
      <c r="F53" s="8"/>
      <c r="G53" s="8"/>
      <c r="H53" s="8"/>
      <c r="I53" s="8"/>
      <c r="J53" s="8"/>
      <c r="K53" s="8"/>
      <c r="L53" s="8"/>
      <c r="M53" s="8"/>
      <c r="N53" s="8"/>
      <c r="O53" s="8"/>
      <c r="P53" s="8"/>
    </row>
    <row r="54" spans="1:16">
      <c r="A54" s="8"/>
      <c r="B54" s="8"/>
      <c r="C54" s="8"/>
      <c r="D54" s="8"/>
      <c r="E54" s="8"/>
      <c r="F54" s="8"/>
      <c r="G54" s="8"/>
      <c r="H54" s="8"/>
      <c r="I54" s="8"/>
      <c r="J54" s="8"/>
      <c r="K54" s="8"/>
      <c r="L54" s="8"/>
      <c r="M54" s="8"/>
      <c r="N54" s="8"/>
      <c r="O54" s="8"/>
      <c r="P54" s="8"/>
    </row>
    <row r="55" spans="1:16">
      <c r="A55" s="8"/>
      <c r="B55" s="8"/>
      <c r="C55" s="8"/>
      <c r="D55" s="8"/>
      <c r="E55" s="8"/>
      <c r="F55" s="8"/>
      <c r="G55" s="8"/>
      <c r="H55" s="8"/>
      <c r="I55" s="8"/>
      <c r="J55" s="8"/>
      <c r="K55" s="8"/>
      <c r="L55" s="8"/>
      <c r="M55" s="8"/>
      <c r="N55" s="8"/>
      <c r="O55" s="8"/>
      <c r="P55" s="8"/>
    </row>
    <row r="56" spans="1:16">
      <c r="A56" s="8"/>
      <c r="B56" s="8"/>
      <c r="C56" s="8"/>
      <c r="D56" s="8"/>
      <c r="E56" s="8"/>
      <c r="F56" s="8"/>
      <c r="G56" s="8"/>
      <c r="H56" s="8"/>
      <c r="I56" s="8"/>
      <c r="J56" s="8"/>
      <c r="K56" s="8"/>
      <c r="L56" s="8"/>
      <c r="M56" s="8"/>
      <c r="N56" s="8"/>
      <c r="O56" s="8"/>
      <c r="P56" s="8"/>
    </row>
    <row r="57" spans="1:16">
      <c r="A57" s="8"/>
      <c r="B57" s="8"/>
      <c r="C57" s="8"/>
      <c r="D57" s="8"/>
      <c r="E57" s="8"/>
      <c r="F57" s="8"/>
      <c r="G57" s="8"/>
      <c r="H57" s="8"/>
      <c r="I57" s="8"/>
      <c r="J57" s="8"/>
      <c r="K57" s="8"/>
      <c r="L57" s="8"/>
      <c r="M57" s="8"/>
      <c r="N57" s="8"/>
      <c r="O57" s="8"/>
      <c r="P57" s="8"/>
    </row>
    <row r="58" spans="1:16">
      <c r="A58" s="8"/>
      <c r="B58" s="8" t="s">
        <v>997</v>
      </c>
      <c r="C58" s="8"/>
      <c r="D58" s="8"/>
      <c r="E58" s="8"/>
      <c r="F58" s="8"/>
      <c r="G58" s="8"/>
      <c r="H58" s="8"/>
      <c r="I58" s="8"/>
      <c r="J58" s="8"/>
      <c r="K58" s="8"/>
      <c r="L58" s="8"/>
      <c r="M58" s="8"/>
      <c r="N58" s="8"/>
      <c r="O58" s="8"/>
      <c r="P58" s="8"/>
    </row>
    <row r="59" spans="1:16">
      <c r="A59" s="8"/>
      <c r="B59" s="8" t="s">
        <v>998</v>
      </c>
      <c r="C59" s="8"/>
      <c r="D59" s="8"/>
      <c r="E59" s="8"/>
      <c r="F59" s="8"/>
      <c r="G59" s="8"/>
      <c r="H59" s="8"/>
      <c r="I59" s="8"/>
      <c r="J59" s="8"/>
      <c r="K59" s="8"/>
      <c r="L59" s="8"/>
      <c r="M59" s="8"/>
      <c r="N59" s="8"/>
      <c r="O59" s="8"/>
      <c r="P59" s="8"/>
    </row>
    <row r="60" spans="1:16">
      <c r="A60" s="8"/>
      <c r="B60" s="7" t="s">
        <v>999</v>
      </c>
      <c r="D60" s="8" t="s">
        <v>1000</v>
      </c>
      <c r="E60" s="8"/>
      <c r="F60" s="8"/>
      <c r="G60" s="8"/>
      <c r="H60" s="8"/>
      <c r="I60" s="8"/>
      <c r="J60" s="8"/>
      <c r="K60" s="8"/>
      <c r="L60" s="8"/>
      <c r="M60" s="8"/>
      <c r="N60" s="8"/>
      <c r="O60" s="8"/>
      <c r="P60" s="8"/>
    </row>
    <row r="61" spans="1:16">
      <c r="A61" s="8"/>
      <c r="B61" s="8"/>
      <c r="C61" s="8"/>
      <c r="D61" s="8"/>
      <c r="E61" s="8"/>
      <c r="F61" s="8"/>
      <c r="G61" s="8"/>
      <c r="H61" s="8"/>
      <c r="I61" s="8"/>
      <c r="J61" s="8"/>
      <c r="K61" s="8"/>
      <c r="L61" s="8"/>
      <c r="M61" s="8"/>
      <c r="N61" s="8"/>
      <c r="O61" s="8"/>
      <c r="P61" s="8"/>
    </row>
    <row r="62" spans="1:16">
      <c r="A62" s="8"/>
      <c r="B62" s="8"/>
      <c r="C62" s="8"/>
      <c r="D62" s="8"/>
      <c r="E62" s="8"/>
      <c r="F62" s="8"/>
      <c r="G62" s="8"/>
      <c r="H62" s="8"/>
      <c r="I62" s="8"/>
      <c r="J62" s="8"/>
      <c r="K62" s="8"/>
      <c r="L62" s="8"/>
      <c r="M62" s="8"/>
      <c r="N62" s="8"/>
      <c r="O62" s="8"/>
      <c r="P62" s="8"/>
    </row>
    <row r="63" spans="1:16">
      <c r="A63" s="8"/>
      <c r="B63" s="8"/>
      <c r="C63" s="8"/>
      <c r="D63" s="8"/>
      <c r="E63" s="8"/>
      <c r="F63" s="8"/>
      <c r="G63" s="8"/>
      <c r="H63" s="8"/>
      <c r="I63" s="8"/>
      <c r="J63" s="8"/>
      <c r="K63" s="8"/>
      <c r="L63" s="8"/>
      <c r="M63" s="8"/>
      <c r="N63" s="8"/>
      <c r="O63" s="8"/>
      <c r="P63" s="8"/>
    </row>
    <row r="64" spans="1:16">
      <c r="A64" s="8"/>
      <c r="B64" s="8"/>
      <c r="C64" s="8"/>
      <c r="D64" s="8"/>
      <c r="E64" s="8"/>
      <c r="F64" s="8"/>
      <c r="G64" s="8"/>
      <c r="H64" s="8"/>
      <c r="I64" s="8"/>
      <c r="J64" s="8"/>
      <c r="K64" s="8"/>
      <c r="L64" s="8"/>
      <c r="M64" s="8"/>
      <c r="N64" s="8"/>
      <c r="O64" s="8"/>
      <c r="P64" s="8"/>
    </row>
    <row r="65" spans="1:16">
      <c r="A65" s="539"/>
      <c r="B65" s="8"/>
      <c r="C65" s="8"/>
      <c r="D65" s="8"/>
      <c r="E65" s="8"/>
      <c r="F65" s="8"/>
      <c r="G65" s="8"/>
      <c r="H65" s="8"/>
      <c r="I65" s="8"/>
      <c r="J65" s="8"/>
      <c r="K65" s="8"/>
      <c r="L65" s="8"/>
      <c r="M65" s="8"/>
      <c r="N65" s="8"/>
      <c r="O65" s="8"/>
      <c r="P65" s="8"/>
    </row>
    <row r="66" spans="1:16">
      <c r="A66" s="8"/>
      <c r="B66" s="8"/>
      <c r="C66" s="8"/>
      <c r="D66" s="8"/>
      <c r="E66" s="8"/>
      <c r="F66" s="8"/>
      <c r="G66" s="8"/>
      <c r="H66" s="8"/>
      <c r="I66" s="8"/>
      <c r="J66" s="8"/>
      <c r="K66" s="8"/>
      <c r="L66" s="8"/>
      <c r="M66" s="8"/>
      <c r="N66" s="8"/>
      <c r="O66" s="8"/>
      <c r="P66" s="8"/>
    </row>
    <row r="67" spans="1:16">
      <c r="A67" s="8"/>
      <c r="B67" s="8"/>
      <c r="C67" s="8"/>
      <c r="D67" s="8"/>
      <c r="E67" s="8"/>
      <c r="F67" s="8"/>
      <c r="G67" s="8"/>
      <c r="H67" s="8"/>
      <c r="I67" s="8"/>
      <c r="J67" s="8"/>
      <c r="K67" s="8"/>
      <c r="L67" s="8"/>
      <c r="M67" s="8"/>
      <c r="N67" s="8"/>
      <c r="O67" s="8"/>
      <c r="P67" s="8"/>
    </row>
    <row r="68" spans="1:16">
      <c r="A68" s="8"/>
      <c r="B68" s="8"/>
      <c r="C68" s="8"/>
      <c r="D68" s="8"/>
      <c r="E68" s="8"/>
      <c r="F68" s="8"/>
      <c r="G68" s="8"/>
      <c r="H68" s="8"/>
      <c r="I68" s="8"/>
      <c r="J68" s="8"/>
      <c r="K68" s="8"/>
      <c r="L68" s="8"/>
      <c r="M68" s="8"/>
      <c r="N68" s="8"/>
      <c r="O68" s="8"/>
      <c r="P68" s="8"/>
    </row>
    <row r="69" spans="1:16">
      <c r="A69" s="8"/>
      <c r="B69" s="8"/>
      <c r="C69" s="8"/>
      <c r="D69" s="8"/>
      <c r="E69" s="8"/>
      <c r="F69" s="8"/>
      <c r="G69" s="8"/>
      <c r="H69" s="8"/>
      <c r="I69" s="8"/>
      <c r="J69" s="8"/>
      <c r="K69" s="8"/>
      <c r="L69" s="8"/>
      <c r="M69" s="8"/>
      <c r="N69" s="8"/>
      <c r="O69" s="8"/>
      <c r="P69" s="8"/>
    </row>
    <row r="70" spans="1:16">
      <c r="A70" s="8"/>
      <c r="B70" s="8"/>
      <c r="C70" s="8"/>
      <c r="D70" s="8"/>
      <c r="E70" s="8"/>
      <c r="F70" s="8"/>
      <c r="G70" s="8"/>
      <c r="H70" s="8"/>
      <c r="I70" s="8"/>
      <c r="J70" s="8"/>
      <c r="K70" s="8"/>
      <c r="L70" s="8"/>
      <c r="M70" s="8"/>
      <c r="N70" s="8"/>
      <c r="O70" s="8"/>
      <c r="P70" s="8"/>
    </row>
    <row r="71" spans="1:16">
      <c r="A71" s="8"/>
      <c r="B71" s="8"/>
      <c r="C71" s="8"/>
      <c r="D71" s="8"/>
      <c r="E71" s="8"/>
      <c r="F71" s="8"/>
      <c r="G71" s="8"/>
      <c r="H71" s="8"/>
      <c r="I71" s="8"/>
      <c r="J71" s="8"/>
      <c r="K71" s="8"/>
      <c r="L71" s="8"/>
      <c r="M71" s="8"/>
      <c r="N71" s="8"/>
      <c r="O71" s="8"/>
      <c r="P71" s="8"/>
    </row>
    <row r="72" spans="1:16">
      <c r="A72" s="8"/>
      <c r="B72" s="8"/>
      <c r="C72" s="8"/>
      <c r="D72" s="8"/>
      <c r="E72" s="8"/>
      <c r="F72" s="8"/>
      <c r="G72" s="8"/>
      <c r="H72" s="8"/>
      <c r="I72" s="8"/>
      <c r="J72" s="8"/>
      <c r="K72" s="8"/>
      <c r="L72" s="8"/>
      <c r="M72" s="8"/>
      <c r="N72" s="8"/>
      <c r="O72" s="8"/>
      <c r="P72" s="8"/>
    </row>
    <row r="73" spans="1:16">
      <c r="A73" s="8"/>
      <c r="B73" s="8"/>
      <c r="C73" s="8"/>
      <c r="D73" s="8"/>
      <c r="E73" s="8"/>
      <c r="F73" s="8"/>
      <c r="G73" s="8"/>
      <c r="H73" s="8"/>
      <c r="I73" s="8"/>
      <c r="J73" s="8"/>
      <c r="K73" s="8"/>
      <c r="L73" s="8"/>
      <c r="M73" s="8"/>
      <c r="N73" s="8"/>
      <c r="O73" s="8"/>
      <c r="P73" s="8"/>
    </row>
    <row r="74" spans="1:16">
      <c r="A74" s="8"/>
      <c r="B74" s="8"/>
      <c r="C74" s="8"/>
      <c r="D74" s="8"/>
      <c r="E74" s="8"/>
      <c r="F74" s="8"/>
      <c r="G74" s="8"/>
      <c r="H74" s="8"/>
      <c r="I74" s="8"/>
      <c r="J74" s="8"/>
      <c r="K74" s="8"/>
      <c r="L74" s="8"/>
      <c r="M74" s="8"/>
      <c r="N74" s="8"/>
      <c r="O74" s="8"/>
      <c r="P74" s="8"/>
    </row>
    <row r="75" spans="1:16">
      <c r="A75" s="8"/>
      <c r="B75" s="8"/>
      <c r="C75" s="8"/>
      <c r="D75" s="8"/>
      <c r="E75" s="8"/>
      <c r="F75" s="8"/>
      <c r="G75" s="8"/>
      <c r="H75" s="8"/>
      <c r="I75" s="8"/>
      <c r="J75" s="8"/>
      <c r="K75" s="8"/>
      <c r="L75" s="8"/>
      <c r="M75" s="8"/>
      <c r="N75" s="8"/>
      <c r="O75" s="8"/>
      <c r="P75" s="8"/>
    </row>
    <row r="76" spans="1:16">
      <c r="A76" s="8"/>
      <c r="B76" s="8"/>
      <c r="C76" s="8"/>
      <c r="D76" s="8"/>
      <c r="E76" s="8"/>
      <c r="F76" s="8"/>
      <c r="G76" s="8"/>
      <c r="H76" s="8"/>
      <c r="I76" s="8"/>
      <c r="J76" s="8"/>
      <c r="K76" s="8"/>
      <c r="L76" s="8"/>
      <c r="M76" s="8"/>
      <c r="N76" s="8"/>
      <c r="O76" s="8"/>
      <c r="P76" s="8"/>
    </row>
    <row r="77" spans="1:16">
      <c r="A77" s="8"/>
      <c r="B77" s="8"/>
      <c r="C77" s="8"/>
      <c r="D77" s="8"/>
      <c r="E77" s="8"/>
      <c r="F77" s="8"/>
      <c r="G77" s="8"/>
      <c r="H77" s="8"/>
      <c r="I77" s="8"/>
      <c r="J77" s="8"/>
      <c r="K77" s="8"/>
      <c r="L77" s="8"/>
      <c r="M77" s="8"/>
      <c r="N77" s="8"/>
      <c r="O77" s="8"/>
      <c r="P77" s="8"/>
    </row>
    <row r="78" spans="1:16">
      <c r="A78" s="8"/>
      <c r="B78" s="8"/>
      <c r="C78" s="8"/>
      <c r="D78" s="8"/>
      <c r="E78" s="8"/>
      <c r="F78" s="8"/>
      <c r="G78" s="8"/>
      <c r="H78" s="8"/>
      <c r="I78" s="8"/>
      <c r="J78" s="8"/>
      <c r="K78" s="8"/>
      <c r="L78" s="8"/>
      <c r="M78" s="8"/>
      <c r="N78" s="8"/>
      <c r="O78" s="8"/>
      <c r="P78" s="8"/>
    </row>
    <row r="79" spans="1:16">
      <c r="A79" s="8"/>
      <c r="B79" s="8"/>
      <c r="C79" s="8"/>
      <c r="D79" s="8"/>
      <c r="E79" s="8"/>
      <c r="F79" s="8"/>
      <c r="G79" s="8"/>
      <c r="H79" s="8"/>
      <c r="I79" s="8"/>
      <c r="J79" s="8"/>
      <c r="K79" s="8"/>
      <c r="L79" s="8"/>
      <c r="M79" s="8"/>
      <c r="N79" s="8"/>
      <c r="O79" s="8"/>
      <c r="P79" s="8"/>
    </row>
    <row r="80" spans="1:16">
      <c r="A80" s="8"/>
      <c r="B80" s="8"/>
      <c r="C80" s="8"/>
      <c r="D80" s="8"/>
      <c r="E80" s="8"/>
      <c r="F80" s="8"/>
      <c r="G80" s="8"/>
      <c r="H80" s="8"/>
      <c r="I80" s="8"/>
      <c r="J80" s="8"/>
      <c r="K80" s="8"/>
      <c r="L80" s="8"/>
      <c r="M80" s="8"/>
      <c r="N80" s="8"/>
      <c r="O80" s="8"/>
      <c r="P80" s="8"/>
    </row>
    <row r="81" spans="1:21">
      <c r="A81" s="8"/>
      <c r="B81" s="8"/>
      <c r="C81" s="8"/>
      <c r="D81" s="8"/>
      <c r="E81" s="8"/>
      <c r="F81" s="8"/>
      <c r="G81" s="8"/>
      <c r="H81" s="8"/>
      <c r="I81" s="8"/>
      <c r="J81" s="8"/>
      <c r="K81" s="8"/>
      <c r="L81" s="8"/>
      <c r="M81" s="8"/>
      <c r="N81" s="8"/>
      <c r="O81" s="8"/>
      <c r="P81" s="8"/>
    </row>
    <row r="82" spans="1:21">
      <c r="A82" s="8"/>
      <c r="B82" s="8"/>
      <c r="C82" s="8"/>
      <c r="D82" s="8"/>
      <c r="E82" s="8"/>
      <c r="F82" s="8"/>
      <c r="G82" s="8"/>
      <c r="H82" s="8"/>
      <c r="I82" s="8"/>
      <c r="J82" s="8"/>
      <c r="K82" s="8"/>
      <c r="L82" s="8"/>
      <c r="M82" s="8"/>
      <c r="N82" s="8"/>
      <c r="O82" s="8"/>
      <c r="P82" s="8"/>
      <c r="U82" s="7" t="s">
        <v>1001</v>
      </c>
    </row>
    <row r="83" spans="1:21">
      <c r="A83" s="8"/>
      <c r="B83" s="8"/>
      <c r="C83" s="8"/>
      <c r="D83" s="8"/>
      <c r="E83" s="8"/>
      <c r="F83" s="8"/>
      <c r="G83" s="8"/>
      <c r="H83" s="8"/>
      <c r="I83" s="8"/>
      <c r="J83" s="8"/>
      <c r="K83" s="8"/>
      <c r="L83" s="8"/>
      <c r="M83" s="8"/>
      <c r="N83" s="8"/>
      <c r="O83" s="8"/>
      <c r="P83" s="8"/>
    </row>
    <row r="84" spans="1:21">
      <c r="A84" s="8"/>
      <c r="B84" s="8"/>
      <c r="C84" s="8"/>
      <c r="D84" s="8"/>
      <c r="E84" s="8"/>
      <c r="F84" s="8"/>
      <c r="G84" s="8"/>
      <c r="H84" s="8"/>
      <c r="I84" s="8"/>
      <c r="J84" s="8"/>
      <c r="K84" s="8"/>
      <c r="L84" s="8"/>
      <c r="M84" s="8"/>
      <c r="N84" s="8"/>
      <c r="O84" s="8"/>
      <c r="P84" s="8"/>
    </row>
    <row r="85" spans="1:21">
      <c r="A85" s="8"/>
      <c r="B85" s="8"/>
      <c r="C85" s="8"/>
      <c r="D85" s="8"/>
      <c r="E85" s="8"/>
      <c r="F85" s="8"/>
      <c r="G85" s="8"/>
      <c r="H85" s="8"/>
      <c r="I85" s="8"/>
      <c r="J85" s="8"/>
      <c r="K85" s="8"/>
      <c r="L85" s="8"/>
      <c r="M85" s="8"/>
      <c r="N85" s="8"/>
      <c r="O85" s="8"/>
      <c r="P85" s="8"/>
    </row>
    <row r="86" spans="1:21">
      <c r="A86" s="8"/>
      <c r="B86" s="8"/>
      <c r="C86" s="8"/>
      <c r="D86" s="8"/>
      <c r="E86" s="8"/>
      <c r="F86" s="8"/>
      <c r="G86" s="8"/>
      <c r="H86" s="8"/>
      <c r="I86" s="8"/>
      <c r="J86" s="8"/>
      <c r="K86" s="8"/>
      <c r="L86" s="8"/>
      <c r="M86" s="8"/>
      <c r="N86" s="8"/>
      <c r="O86" s="8"/>
      <c r="P86" s="8"/>
    </row>
    <row r="87" spans="1:21">
      <c r="A87" s="8"/>
      <c r="B87" s="8"/>
      <c r="C87" s="8"/>
      <c r="D87" s="8"/>
      <c r="E87" s="8"/>
      <c r="F87" s="8"/>
      <c r="G87" s="8"/>
      <c r="H87" s="8"/>
      <c r="I87" s="8"/>
      <c r="J87" s="8"/>
      <c r="K87" s="8"/>
      <c r="L87" s="8"/>
      <c r="M87" s="8"/>
      <c r="N87" s="8"/>
      <c r="O87" s="8"/>
      <c r="P87" s="8"/>
    </row>
    <row r="88" spans="1:21">
      <c r="A88" s="8"/>
      <c r="B88" s="8"/>
      <c r="C88" s="8"/>
      <c r="D88" s="8"/>
      <c r="E88" s="8"/>
      <c r="F88" s="8"/>
      <c r="G88" s="8"/>
      <c r="H88" s="8"/>
      <c r="I88" s="8"/>
      <c r="J88" s="8"/>
      <c r="K88" s="8"/>
      <c r="L88" s="8"/>
      <c r="M88" s="8"/>
      <c r="N88" s="8"/>
      <c r="O88" s="8"/>
      <c r="P88" s="8"/>
    </row>
    <row r="89" spans="1:21">
      <c r="A89" s="8" t="s">
        <v>1002</v>
      </c>
      <c r="B89" s="8"/>
      <c r="C89" s="8"/>
      <c r="D89" s="8"/>
      <c r="E89" s="8"/>
      <c r="F89" s="8"/>
      <c r="G89" s="8"/>
      <c r="H89" s="8"/>
      <c r="I89" s="8"/>
      <c r="J89" s="8"/>
      <c r="K89" s="8"/>
      <c r="L89" s="8"/>
      <c r="M89" s="8"/>
      <c r="N89" s="8"/>
      <c r="O89" s="8"/>
      <c r="P89" s="8"/>
    </row>
    <row r="90" spans="1:21">
      <c r="A90" s="8" t="s">
        <v>1003</v>
      </c>
      <c r="B90" s="8"/>
      <c r="C90" s="8"/>
      <c r="D90" s="8"/>
      <c r="E90" s="8"/>
      <c r="F90" s="8"/>
      <c r="G90" s="8"/>
      <c r="H90" s="8"/>
      <c r="I90" s="8"/>
      <c r="J90" s="8"/>
      <c r="K90" s="8"/>
      <c r="L90" s="8"/>
      <c r="M90" s="8"/>
      <c r="N90" s="8"/>
      <c r="O90" s="8"/>
      <c r="P90" s="8"/>
    </row>
    <row r="91" spans="1:21">
      <c r="A91" s="8"/>
      <c r="B91" s="8"/>
      <c r="C91" s="8"/>
      <c r="D91" s="8"/>
      <c r="E91" s="8"/>
      <c r="F91" s="8"/>
      <c r="G91" s="8"/>
      <c r="H91" s="8"/>
      <c r="I91" s="8"/>
      <c r="J91" s="8"/>
      <c r="K91" s="8"/>
      <c r="L91" s="8"/>
      <c r="M91" s="8"/>
      <c r="N91" s="8"/>
      <c r="O91" s="8"/>
      <c r="P91" s="8"/>
    </row>
    <row r="92" spans="1:21">
      <c r="A92" s="8"/>
      <c r="B92" s="8"/>
      <c r="C92" s="8"/>
      <c r="D92" s="8"/>
      <c r="E92" s="8"/>
      <c r="F92" s="8"/>
      <c r="G92" s="8"/>
      <c r="H92" s="8"/>
      <c r="I92" s="8"/>
      <c r="J92" s="8"/>
      <c r="K92" s="8"/>
      <c r="L92" s="8"/>
      <c r="M92" s="8"/>
      <c r="N92" s="8"/>
      <c r="O92" s="8"/>
      <c r="P92" s="8"/>
    </row>
    <row r="93" spans="1:21">
      <c r="A93" s="8"/>
      <c r="B93" s="8"/>
      <c r="C93" s="8"/>
      <c r="D93" s="8"/>
      <c r="E93" s="8"/>
      <c r="F93" s="8"/>
      <c r="G93" s="8"/>
      <c r="H93" s="8"/>
      <c r="I93" s="8"/>
      <c r="J93" s="8"/>
      <c r="K93" s="8"/>
      <c r="L93" s="8"/>
      <c r="M93" s="8"/>
      <c r="N93" s="8"/>
      <c r="O93" s="8"/>
      <c r="P93" s="8"/>
    </row>
    <row r="94" spans="1:21">
      <c r="A94" s="8"/>
      <c r="B94" s="8"/>
      <c r="C94" s="8"/>
      <c r="D94" s="8"/>
      <c r="E94" s="8"/>
      <c r="F94" s="8"/>
      <c r="G94" s="8"/>
      <c r="H94" s="8"/>
      <c r="I94" s="8"/>
      <c r="J94" s="8"/>
      <c r="K94" s="8"/>
      <c r="L94" s="8"/>
      <c r="M94" s="8"/>
      <c r="N94" s="8"/>
      <c r="O94" s="8"/>
      <c r="P94" s="8"/>
    </row>
    <row r="95" spans="1:21">
      <c r="A95" s="8"/>
      <c r="B95" s="8"/>
      <c r="C95" s="8"/>
      <c r="D95" s="8"/>
      <c r="E95" s="8"/>
      <c r="F95" s="8"/>
      <c r="G95" s="8"/>
      <c r="H95" s="8"/>
      <c r="I95" s="8"/>
      <c r="J95" s="8"/>
      <c r="K95" s="8"/>
      <c r="L95" s="8"/>
      <c r="M95" s="8"/>
      <c r="N95" s="8"/>
      <c r="O95" s="8"/>
      <c r="P95" s="8"/>
    </row>
    <row r="96" spans="1:21">
      <c r="A96" s="8"/>
      <c r="B96" s="8"/>
      <c r="C96" s="8"/>
      <c r="D96" s="8"/>
      <c r="E96" s="8"/>
      <c r="F96" s="8"/>
      <c r="G96" s="8"/>
      <c r="H96" s="8"/>
      <c r="I96" s="8"/>
      <c r="J96" s="8"/>
      <c r="K96" s="8"/>
      <c r="L96" s="8"/>
      <c r="M96" s="8"/>
      <c r="N96" s="8"/>
      <c r="O96" s="8"/>
      <c r="P96" s="8"/>
    </row>
    <row r="97" spans="1:16">
      <c r="A97" s="8"/>
      <c r="B97" s="8"/>
      <c r="C97" s="8"/>
      <c r="D97" s="8"/>
      <c r="E97" s="8"/>
      <c r="F97" s="8"/>
      <c r="G97" s="8"/>
      <c r="H97" s="8"/>
      <c r="I97" s="8"/>
      <c r="J97" s="8"/>
      <c r="K97" s="8"/>
      <c r="L97" s="8"/>
      <c r="M97" s="8"/>
      <c r="N97" s="8"/>
      <c r="O97" s="8"/>
      <c r="P97" s="8"/>
    </row>
    <row r="98" spans="1:16">
      <c r="A98" s="8"/>
      <c r="B98" s="8"/>
      <c r="C98" s="8"/>
      <c r="D98" s="8"/>
      <c r="E98" s="8"/>
      <c r="F98" s="8"/>
      <c r="G98" s="8"/>
      <c r="H98" s="8"/>
      <c r="I98" s="8"/>
      <c r="J98" s="8"/>
      <c r="K98" s="8"/>
      <c r="L98" s="8"/>
      <c r="M98" s="8"/>
      <c r="N98" s="8"/>
      <c r="O98" s="8"/>
      <c r="P98" s="8"/>
    </row>
  </sheetData>
  <sheetProtection algorithmName="SHA-512" hashValue="hskAYzcZTK0OuA6usxr25/m2EMh7zUwUDZ1g2ImUUBtJIk++/6dQO+vwy3d9NlmE3oZMEmOoN1ZS5RldqzZSJQ==" saltValue="FRHB+k45pBZVXqMF+UrcMA==" spinCount="100000" sheet="1" objects="1" scenarios="1"/>
  <conditionalFormatting sqref="K1">
    <cfRule type="expression" dxfId="4" priority="1" stopIfTrue="1">
      <formula>MOD(ROW(),2)=0</formula>
    </cfRule>
  </conditionalFormatting>
  <hyperlinks>
    <hyperlink ref="K1" location="HypLink1" display="HypLink1"/>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34998626667073579"/>
  </sheetPr>
  <dimension ref="A1:T80"/>
  <sheetViews>
    <sheetView workbookViewId="0"/>
  </sheetViews>
  <sheetFormatPr defaultColWidth="9.140625" defaultRowHeight="12.75"/>
  <cols>
    <col min="1" max="1" width="10.7109375" style="7" bestFit="1" customWidth="1"/>
    <col min="2" max="16384" width="9.140625" style="7"/>
  </cols>
  <sheetData>
    <row r="1" spans="1:20" ht="15.75">
      <c r="A1" s="485" t="s">
        <v>1004</v>
      </c>
      <c r="B1" s="485"/>
      <c r="C1" s="485"/>
      <c r="E1" s="640" t="s">
        <v>2</v>
      </c>
      <c r="P1" s="8"/>
      <c r="Q1" s="8"/>
      <c r="R1" s="8"/>
      <c r="S1" s="8"/>
      <c r="T1" s="8"/>
    </row>
    <row r="2" spans="1:20" ht="15.75">
      <c r="A2" s="32" t="str">
        <f>SchoolName</f>
        <v>Strong Start Academy Elementary School</v>
      </c>
      <c r="B2" s="35"/>
      <c r="C2" s="35"/>
      <c r="P2" s="8"/>
      <c r="Q2" s="8"/>
      <c r="R2" s="8"/>
      <c r="S2" s="8"/>
      <c r="T2" s="8"/>
    </row>
    <row r="3" spans="1:20">
      <c r="A3" s="11" t="s">
        <v>62</v>
      </c>
      <c r="P3" s="8"/>
      <c r="Q3" s="8"/>
      <c r="R3" s="8"/>
      <c r="S3" s="8"/>
      <c r="T3" s="8"/>
    </row>
    <row r="4" spans="1:20">
      <c r="A4" s="10" t="s">
        <v>63</v>
      </c>
      <c r="P4" s="8"/>
      <c r="Q4" s="8"/>
      <c r="R4" s="8"/>
      <c r="S4" s="8"/>
      <c r="T4" s="8"/>
    </row>
    <row r="5" spans="1:20">
      <c r="A5" s="9" t="str">
        <f ca="1">CELL("filename")</f>
        <v>C:\Users\rsaucedo\OneDrive - City of Las Vegas\CLV Charter School\[Strong Start Academy Elementary School Financial Workbook 2021.xlsx]Incubation</v>
      </c>
      <c r="P5" s="8"/>
      <c r="Q5" s="8"/>
      <c r="R5" s="8"/>
      <c r="S5" s="8"/>
      <c r="T5" s="8"/>
    </row>
    <row r="6" spans="1:20">
      <c r="P6" s="8"/>
      <c r="Q6" s="8"/>
      <c r="R6" s="8"/>
      <c r="S6" s="8"/>
      <c r="T6" s="8"/>
    </row>
    <row r="7" spans="1:20">
      <c r="A7" s="8"/>
      <c r="B7" s="8"/>
      <c r="C7" s="8"/>
      <c r="D7" s="8"/>
      <c r="E7" s="8"/>
      <c r="F7" s="8"/>
      <c r="G7" s="8"/>
      <c r="H7" s="8"/>
      <c r="I7" s="8"/>
      <c r="J7" s="8"/>
      <c r="K7" s="8"/>
      <c r="L7" s="8"/>
      <c r="M7" s="8"/>
      <c r="N7" s="8"/>
      <c r="O7" s="8"/>
      <c r="P7" s="8"/>
      <c r="Q7" s="8"/>
      <c r="R7" s="8"/>
      <c r="S7" s="8"/>
      <c r="T7" s="8"/>
    </row>
    <row r="8" spans="1:20">
      <c r="A8" s="8"/>
      <c r="B8" s="8"/>
      <c r="C8" s="8"/>
      <c r="D8" s="8"/>
      <c r="E8" s="8"/>
      <c r="F8" s="8"/>
      <c r="G8" s="8"/>
      <c r="H8" s="8"/>
      <c r="I8" s="8"/>
      <c r="J8" s="8"/>
      <c r="K8" s="8"/>
      <c r="L8" s="8"/>
      <c r="M8" s="8"/>
      <c r="N8" s="8"/>
      <c r="O8" s="8"/>
      <c r="P8" s="8"/>
      <c r="Q8" s="8"/>
      <c r="R8" s="8"/>
      <c r="S8" s="8"/>
      <c r="T8" s="8"/>
    </row>
    <row r="9" spans="1:20">
      <c r="A9" s="8"/>
      <c r="B9" s="8"/>
      <c r="C9" s="8"/>
      <c r="D9" s="8"/>
      <c r="E9" s="8"/>
      <c r="F9" s="8"/>
      <c r="G9" s="8"/>
      <c r="H9" s="8"/>
      <c r="I9" s="8"/>
      <c r="J9" s="8"/>
      <c r="K9" s="8"/>
      <c r="L9" s="8"/>
      <c r="M9" s="8"/>
      <c r="N9" s="8"/>
      <c r="O9" s="8"/>
      <c r="P9" s="8"/>
      <c r="Q9" s="8"/>
      <c r="R9" s="8"/>
      <c r="S9" s="8"/>
      <c r="T9" s="8"/>
    </row>
    <row r="10" spans="1:20">
      <c r="A10" s="8"/>
      <c r="B10" s="8"/>
      <c r="C10" s="8"/>
      <c r="D10" s="8"/>
      <c r="E10" s="8"/>
      <c r="F10" s="8"/>
      <c r="G10" s="8"/>
      <c r="H10" s="8"/>
      <c r="I10" s="8"/>
      <c r="J10" s="8"/>
      <c r="K10" s="8"/>
      <c r="L10" s="8"/>
      <c r="M10" s="8"/>
      <c r="N10" s="8"/>
      <c r="O10" s="8"/>
      <c r="P10" s="8"/>
      <c r="Q10" s="8"/>
      <c r="R10" s="8"/>
      <c r="S10" s="8"/>
      <c r="T10" s="8"/>
    </row>
    <row r="11" spans="1:20">
      <c r="A11" s="8"/>
      <c r="B11" s="8"/>
      <c r="C11" s="8"/>
      <c r="D11" s="8"/>
      <c r="E11" s="8"/>
      <c r="F11" s="8"/>
      <c r="G11" s="8"/>
      <c r="H11" s="8"/>
      <c r="I11" s="8"/>
      <c r="J11" s="8"/>
      <c r="K11" s="8"/>
      <c r="L11" s="8"/>
      <c r="M11" s="8"/>
      <c r="N11" s="8"/>
      <c r="O11" s="8"/>
      <c r="P11" s="8"/>
      <c r="Q11" s="8"/>
      <c r="R11" s="8"/>
      <c r="S11" s="8"/>
      <c r="T11" s="8"/>
    </row>
    <row r="12" spans="1:20">
      <c r="A12" s="8"/>
      <c r="B12" s="8"/>
      <c r="C12" s="8"/>
      <c r="D12" s="8"/>
      <c r="E12" s="8"/>
      <c r="F12" s="8"/>
      <c r="G12" s="8"/>
      <c r="H12" s="8"/>
      <c r="I12" s="8"/>
      <c r="J12" s="8"/>
      <c r="K12" s="8"/>
      <c r="L12" s="8"/>
      <c r="M12" s="8"/>
      <c r="N12" s="8"/>
      <c r="O12" s="8"/>
      <c r="P12" s="8"/>
      <c r="Q12" s="8"/>
      <c r="R12" s="8"/>
      <c r="S12" s="8"/>
      <c r="T12" s="8"/>
    </row>
    <row r="13" spans="1:20">
      <c r="A13" s="8"/>
      <c r="B13" s="8"/>
      <c r="C13" s="8"/>
      <c r="D13" s="8"/>
      <c r="E13" s="8"/>
      <c r="F13" s="8"/>
      <c r="G13" s="8"/>
      <c r="H13" s="8"/>
      <c r="I13" s="8"/>
      <c r="J13" s="8"/>
      <c r="K13" s="8"/>
      <c r="L13" s="8"/>
      <c r="M13" s="8"/>
      <c r="N13" s="8"/>
      <c r="O13" s="8"/>
      <c r="P13" s="8"/>
      <c r="Q13" s="8"/>
      <c r="R13" s="8"/>
      <c r="S13" s="8"/>
      <c r="T13" s="8"/>
    </row>
    <row r="14" spans="1:20">
      <c r="A14" s="8"/>
      <c r="B14" s="8"/>
      <c r="C14" s="8"/>
      <c r="D14" s="8"/>
      <c r="E14" s="8"/>
      <c r="F14" s="8"/>
      <c r="G14" s="8"/>
      <c r="H14" s="8"/>
      <c r="I14" s="8"/>
      <c r="J14" s="8"/>
      <c r="K14" s="8"/>
      <c r="L14" s="8"/>
      <c r="M14" s="8"/>
      <c r="N14" s="8"/>
      <c r="O14" s="8"/>
      <c r="P14" s="8"/>
      <c r="Q14" s="8"/>
      <c r="R14" s="8"/>
      <c r="S14" s="8"/>
      <c r="T14" s="8"/>
    </row>
    <row r="15" spans="1:20">
      <c r="A15" s="8"/>
      <c r="B15" s="8"/>
      <c r="C15" s="8"/>
      <c r="D15" s="8"/>
      <c r="E15" s="8"/>
      <c r="F15" s="8"/>
      <c r="G15" s="8"/>
      <c r="H15" s="8"/>
      <c r="I15" s="8"/>
      <c r="J15" s="8"/>
      <c r="K15" s="8"/>
      <c r="L15" s="8"/>
      <c r="M15" s="8"/>
      <c r="N15" s="8"/>
      <c r="O15" s="8"/>
      <c r="P15" s="8"/>
      <c r="Q15" s="8"/>
      <c r="R15" s="8"/>
      <c r="S15" s="8"/>
      <c r="T15" s="8"/>
    </row>
    <row r="16" spans="1:20">
      <c r="A16" s="8"/>
      <c r="B16" s="8"/>
      <c r="C16" s="8"/>
      <c r="D16" s="8"/>
      <c r="E16" s="8"/>
      <c r="F16" s="8"/>
      <c r="G16" s="8"/>
      <c r="H16" s="8"/>
      <c r="I16" s="8"/>
      <c r="J16" s="8"/>
      <c r="K16" s="8"/>
      <c r="L16" s="8"/>
      <c r="M16" s="8"/>
      <c r="N16" s="8"/>
      <c r="O16" s="8"/>
      <c r="P16" s="8"/>
      <c r="Q16" s="8"/>
      <c r="R16" s="8"/>
      <c r="S16" s="8"/>
      <c r="T16" s="8"/>
    </row>
    <row r="17" spans="1:20">
      <c r="A17" s="8"/>
      <c r="B17" s="8"/>
      <c r="C17" s="8"/>
      <c r="D17" s="8"/>
      <c r="E17" s="8"/>
      <c r="F17" s="8"/>
      <c r="G17" s="8"/>
      <c r="H17" s="8"/>
      <c r="I17" s="8"/>
      <c r="J17" s="8"/>
      <c r="K17" s="8"/>
      <c r="L17" s="8"/>
      <c r="M17" s="8"/>
      <c r="N17" s="8"/>
      <c r="O17" s="8"/>
      <c r="P17" s="8"/>
      <c r="Q17" s="8"/>
      <c r="R17" s="8"/>
      <c r="S17" s="8"/>
      <c r="T17" s="8"/>
    </row>
    <row r="18" spans="1:20">
      <c r="A18" s="8"/>
      <c r="B18" s="8"/>
      <c r="C18" s="8"/>
      <c r="D18" s="8"/>
      <c r="E18" s="8"/>
      <c r="F18" s="8"/>
      <c r="G18" s="8"/>
      <c r="H18" s="8"/>
      <c r="I18" s="8"/>
      <c r="J18" s="8"/>
      <c r="K18" s="8"/>
      <c r="L18" s="8"/>
      <c r="M18" s="8"/>
      <c r="N18" s="8"/>
      <c r="O18" s="8"/>
      <c r="P18" s="8"/>
      <c r="Q18" s="8"/>
      <c r="R18" s="8"/>
      <c r="S18" s="8"/>
      <c r="T18" s="8"/>
    </row>
    <row r="19" spans="1:20">
      <c r="A19" s="8"/>
      <c r="B19" s="8"/>
      <c r="C19" s="8"/>
      <c r="D19" s="8"/>
      <c r="E19" s="8"/>
      <c r="F19" s="8"/>
      <c r="G19" s="8"/>
      <c r="H19" s="8"/>
      <c r="I19" s="8"/>
      <c r="J19" s="8"/>
      <c r="K19" s="8"/>
      <c r="L19" s="8"/>
      <c r="M19" s="8"/>
      <c r="N19" s="8"/>
      <c r="O19" s="8"/>
      <c r="P19" s="8"/>
      <c r="Q19" s="8"/>
      <c r="R19" s="8"/>
      <c r="S19" s="8"/>
      <c r="T19" s="8"/>
    </row>
    <row r="20" spans="1:20">
      <c r="A20" s="8"/>
      <c r="B20" s="8"/>
      <c r="C20" s="8"/>
      <c r="D20" s="8"/>
      <c r="E20" s="8"/>
      <c r="F20" s="8"/>
      <c r="G20" s="8"/>
      <c r="H20" s="8"/>
      <c r="I20" s="8"/>
      <c r="J20" s="8"/>
      <c r="K20" s="8"/>
      <c r="L20" s="8"/>
      <c r="M20" s="8"/>
      <c r="N20" s="8"/>
      <c r="O20" s="8"/>
      <c r="P20" s="8"/>
      <c r="Q20" s="8"/>
      <c r="R20" s="8"/>
      <c r="S20" s="8"/>
      <c r="T20" s="8"/>
    </row>
    <row r="21" spans="1:20">
      <c r="A21" s="8"/>
      <c r="B21" s="8"/>
      <c r="C21" s="8"/>
      <c r="D21" s="8"/>
      <c r="E21" s="8"/>
      <c r="F21" s="8"/>
      <c r="G21" s="8"/>
      <c r="H21" s="8"/>
      <c r="I21" s="8"/>
      <c r="J21" s="8"/>
      <c r="K21" s="8"/>
      <c r="L21" s="8"/>
      <c r="M21" s="8"/>
      <c r="N21" s="8"/>
      <c r="O21" s="8"/>
      <c r="P21" s="8"/>
      <c r="Q21" s="8"/>
      <c r="R21" s="8"/>
      <c r="S21" s="8"/>
      <c r="T21" s="8"/>
    </row>
    <row r="22" spans="1:20">
      <c r="A22" s="8"/>
      <c r="B22" s="8"/>
      <c r="C22" s="8"/>
      <c r="D22" s="8"/>
      <c r="E22" s="8"/>
      <c r="F22" s="8"/>
      <c r="G22" s="8"/>
      <c r="H22" s="8"/>
      <c r="I22" s="8"/>
      <c r="J22" s="8"/>
      <c r="K22" s="8"/>
      <c r="L22" s="8"/>
      <c r="M22" s="8"/>
      <c r="N22" s="8"/>
      <c r="O22" s="8"/>
      <c r="P22" s="8"/>
      <c r="Q22" s="8"/>
      <c r="R22" s="8"/>
      <c r="S22" s="8"/>
      <c r="T22" s="8"/>
    </row>
    <row r="23" spans="1:20">
      <c r="A23" s="8"/>
      <c r="B23" s="8"/>
      <c r="C23" s="8"/>
      <c r="D23" s="8"/>
      <c r="E23" s="8"/>
      <c r="F23" s="8"/>
      <c r="G23" s="8"/>
      <c r="H23" s="8"/>
      <c r="I23" s="8"/>
      <c r="J23" s="8"/>
      <c r="K23" s="8"/>
      <c r="L23" s="8"/>
      <c r="M23" s="8"/>
      <c r="N23" s="8"/>
      <c r="O23" s="8"/>
      <c r="P23" s="8"/>
      <c r="Q23" s="8"/>
      <c r="R23" s="8"/>
      <c r="S23" s="8"/>
      <c r="T23" s="8"/>
    </row>
    <row r="24" spans="1:20">
      <c r="A24" s="8"/>
      <c r="B24" s="8"/>
      <c r="C24" s="8"/>
      <c r="D24" s="8"/>
      <c r="E24" s="8"/>
      <c r="F24" s="8"/>
      <c r="G24" s="8"/>
      <c r="H24" s="8"/>
      <c r="I24" s="8"/>
      <c r="J24" s="8"/>
      <c r="K24" s="8"/>
      <c r="L24" s="8"/>
      <c r="M24" s="8"/>
      <c r="N24" s="8"/>
      <c r="O24" s="8"/>
      <c r="P24" s="8"/>
      <c r="Q24" s="8"/>
      <c r="R24" s="8"/>
      <c r="S24" s="8"/>
      <c r="T24" s="8"/>
    </row>
    <row r="25" spans="1:20">
      <c r="A25" s="8"/>
      <c r="B25" s="8"/>
      <c r="C25" s="8"/>
      <c r="D25" s="8"/>
      <c r="E25" s="8"/>
      <c r="F25" s="8"/>
      <c r="G25" s="8"/>
      <c r="H25" s="8"/>
      <c r="I25" s="8"/>
      <c r="J25" s="8"/>
      <c r="K25" s="8"/>
      <c r="L25" s="8"/>
      <c r="M25" s="8"/>
      <c r="N25" s="8"/>
      <c r="O25" s="8"/>
      <c r="P25" s="8"/>
      <c r="Q25" s="8"/>
      <c r="R25" s="8"/>
      <c r="S25" s="8"/>
      <c r="T25" s="8"/>
    </row>
    <row r="26" spans="1:20">
      <c r="A26" s="8"/>
      <c r="B26" s="8"/>
      <c r="C26" s="8"/>
      <c r="D26" s="8"/>
      <c r="E26" s="8"/>
      <c r="F26" s="8"/>
      <c r="G26" s="8"/>
      <c r="H26" s="8"/>
      <c r="I26" s="8"/>
      <c r="J26" s="8"/>
      <c r="K26" s="8"/>
      <c r="L26" s="8"/>
      <c r="M26" s="8"/>
      <c r="N26" s="8"/>
      <c r="O26" s="8"/>
      <c r="P26" s="8"/>
      <c r="Q26" s="8"/>
      <c r="R26" s="8"/>
      <c r="S26" s="8"/>
      <c r="T26" s="8"/>
    </row>
    <row r="27" spans="1:20">
      <c r="A27" s="8"/>
      <c r="B27" s="8"/>
      <c r="C27" s="8"/>
      <c r="D27" s="8"/>
      <c r="E27" s="8"/>
      <c r="F27" s="8"/>
      <c r="G27" s="8"/>
      <c r="H27" s="8"/>
      <c r="I27" s="8"/>
      <c r="J27" s="8"/>
      <c r="K27" s="8"/>
      <c r="L27" s="8"/>
      <c r="M27" s="8"/>
      <c r="N27" s="8"/>
      <c r="O27" s="8"/>
      <c r="P27" s="8"/>
      <c r="Q27" s="8"/>
      <c r="R27" s="8"/>
      <c r="S27" s="8"/>
      <c r="T27" s="8"/>
    </row>
    <row r="28" spans="1:20">
      <c r="A28" s="8"/>
      <c r="B28" s="8"/>
      <c r="C28" s="8"/>
      <c r="D28" s="8"/>
      <c r="E28" s="8"/>
      <c r="F28" s="8"/>
      <c r="G28" s="8"/>
      <c r="H28" s="8"/>
      <c r="I28" s="8"/>
      <c r="J28" s="8"/>
      <c r="K28" s="8"/>
      <c r="L28" s="8"/>
      <c r="M28" s="8"/>
      <c r="N28" s="8"/>
      <c r="O28" s="8"/>
      <c r="P28" s="8"/>
      <c r="Q28" s="8"/>
      <c r="R28" s="8"/>
      <c r="S28" s="8"/>
      <c r="T28" s="8"/>
    </row>
    <row r="29" spans="1:20">
      <c r="A29" s="8"/>
      <c r="B29" s="8"/>
      <c r="C29" s="8"/>
      <c r="D29" s="8"/>
      <c r="E29" s="8"/>
      <c r="F29" s="8"/>
      <c r="G29" s="8"/>
      <c r="H29" s="8"/>
      <c r="I29" s="8"/>
      <c r="J29" s="8"/>
      <c r="K29" s="8"/>
      <c r="L29" s="8"/>
      <c r="M29" s="8"/>
      <c r="N29" s="8"/>
      <c r="O29" s="8"/>
      <c r="P29" s="8"/>
      <c r="Q29" s="8"/>
      <c r="R29" s="8"/>
      <c r="S29" s="8"/>
      <c r="T29" s="8"/>
    </row>
    <row r="30" spans="1:20">
      <c r="A30" s="8"/>
      <c r="B30" s="8"/>
      <c r="C30" s="8"/>
      <c r="D30" s="8"/>
      <c r="E30" s="8"/>
      <c r="F30" s="8"/>
      <c r="G30" s="8"/>
      <c r="H30" s="8"/>
      <c r="I30" s="8"/>
      <c r="J30" s="8"/>
      <c r="K30" s="8"/>
      <c r="L30" s="8"/>
      <c r="M30" s="8"/>
      <c r="N30" s="8"/>
      <c r="O30" s="8"/>
      <c r="P30" s="8"/>
    </row>
    <row r="31" spans="1:20">
      <c r="A31" s="8"/>
      <c r="B31" s="8"/>
      <c r="C31" s="8"/>
      <c r="D31" s="8"/>
      <c r="E31" s="8"/>
      <c r="F31" s="8"/>
      <c r="G31" s="8"/>
      <c r="H31" s="8"/>
      <c r="I31" s="8"/>
      <c r="J31" s="8"/>
      <c r="K31" s="8"/>
      <c r="L31" s="8"/>
      <c r="M31" s="8"/>
      <c r="N31" s="8"/>
      <c r="O31" s="8"/>
      <c r="P31" s="8"/>
    </row>
    <row r="32" spans="1:20">
      <c r="A32" s="8"/>
      <c r="B32" s="8"/>
      <c r="C32" s="8"/>
      <c r="D32" s="8"/>
      <c r="E32" s="8"/>
      <c r="F32" s="8"/>
      <c r="G32" s="8"/>
      <c r="H32" s="8"/>
      <c r="I32" s="8"/>
      <c r="J32" s="8"/>
      <c r="K32" s="8"/>
      <c r="L32" s="8"/>
      <c r="M32" s="8"/>
      <c r="N32" s="8"/>
      <c r="O32" s="8"/>
      <c r="P32" s="8"/>
    </row>
    <row r="33" spans="1:16">
      <c r="A33" s="8"/>
      <c r="B33" s="8"/>
      <c r="C33" s="8"/>
      <c r="D33" s="8"/>
      <c r="E33" s="8"/>
      <c r="F33" s="8"/>
      <c r="G33" s="8"/>
      <c r="H33" s="8"/>
      <c r="I33" s="8"/>
      <c r="J33" s="8"/>
      <c r="K33" s="8"/>
      <c r="L33" s="8"/>
      <c r="M33" s="8"/>
      <c r="N33" s="8"/>
      <c r="O33" s="8"/>
      <c r="P33" s="8"/>
    </row>
    <row r="34" spans="1:16">
      <c r="A34" s="8"/>
      <c r="B34" s="8"/>
      <c r="C34" s="8"/>
      <c r="D34" s="8"/>
      <c r="E34" s="8"/>
      <c r="F34" s="8"/>
      <c r="G34" s="8"/>
      <c r="H34" s="8"/>
      <c r="I34" s="8"/>
      <c r="J34" s="8"/>
      <c r="K34" s="8"/>
      <c r="L34" s="8"/>
      <c r="M34" s="8"/>
      <c r="N34" s="8"/>
      <c r="O34" s="8"/>
      <c r="P34" s="8"/>
    </row>
    <row r="35" spans="1:16">
      <c r="A35" s="8"/>
      <c r="B35" s="8"/>
      <c r="C35" s="8"/>
      <c r="D35" s="8"/>
      <c r="E35" s="8"/>
      <c r="F35" s="8"/>
      <c r="G35" s="8"/>
      <c r="H35" s="8"/>
      <c r="I35" s="8"/>
      <c r="J35" s="8"/>
      <c r="K35" s="8"/>
      <c r="L35" s="8"/>
      <c r="M35" s="8"/>
      <c r="N35" s="8"/>
      <c r="O35" s="8"/>
      <c r="P35" s="8"/>
    </row>
    <row r="36" spans="1:16">
      <c r="A36" s="8"/>
      <c r="B36" s="8"/>
      <c r="C36" s="8"/>
      <c r="D36" s="8"/>
      <c r="E36" s="8"/>
      <c r="F36" s="8"/>
      <c r="G36" s="8"/>
      <c r="H36" s="8"/>
      <c r="I36" s="8"/>
      <c r="J36" s="8"/>
      <c r="K36" s="8"/>
      <c r="L36" s="8"/>
      <c r="M36" s="8"/>
      <c r="N36" s="8"/>
      <c r="O36" s="8"/>
      <c r="P36" s="8"/>
    </row>
    <row r="37" spans="1:16">
      <c r="A37" s="8"/>
      <c r="B37" s="8"/>
      <c r="C37" s="8"/>
      <c r="D37" s="8"/>
      <c r="E37" s="8"/>
      <c r="F37" s="8"/>
      <c r="G37" s="8"/>
      <c r="H37" s="8"/>
      <c r="I37" s="8"/>
      <c r="J37" s="8"/>
      <c r="K37" s="8"/>
      <c r="L37" s="8"/>
      <c r="M37" s="8"/>
      <c r="N37" s="8"/>
      <c r="O37" s="8"/>
      <c r="P37" s="8"/>
    </row>
    <row r="38" spans="1:16">
      <c r="A38" s="8"/>
      <c r="B38" s="8"/>
      <c r="C38" s="8"/>
      <c r="D38" s="8"/>
      <c r="E38" s="8"/>
      <c r="F38" s="8"/>
      <c r="G38" s="8"/>
      <c r="H38" s="8"/>
      <c r="I38" s="8"/>
      <c r="J38" s="8"/>
      <c r="K38" s="8"/>
      <c r="L38" s="8"/>
      <c r="M38" s="8"/>
      <c r="N38" s="8"/>
      <c r="O38" s="8"/>
      <c r="P38" s="8"/>
    </row>
    <row r="39" spans="1:16">
      <c r="A39" s="8"/>
      <c r="B39" s="8"/>
      <c r="C39" s="8"/>
      <c r="D39" s="8"/>
      <c r="E39" s="8"/>
      <c r="F39" s="8"/>
      <c r="G39" s="8"/>
      <c r="H39" s="8"/>
      <c r="I39" s="8"/>
      <c r="J39" s="8"/>
      <c r="K39" s="8"/>
      <c r="L39" s="8"/>
      <c r="M39" s="8"/>
      <c r="N39" s="8"/>
      <c r="O39" s="8"/>
      <c r="P39" s="8"/>
    </row>
    <row r="40" spans="1:16">
      <c r="A40" s="8"/>
      <c r="B40" s="8"/>
      <c r="C40" s="8"/>
      <c r="D40" s="8"/>
      <c r="E40" s="8"/>
      <c r="F40" s="8"/>
      <c r="G40" s="8"/>
      <c r="H40" s="8"/>
      <c r="I40" s="8"/>
      <c r="J40" s="8"/>
      <c r="K40" s="8"/>
      <c r="L40" s="8"/>
      <c r="M40" s="8"/>
      <c r="N40" s="8"/>
      <c r="O40" s="8"/>
      <c r="P40" s="8"/>
    </row>
    <row r="41" spans="1:16">
      <c r="A41" s="8"/>
      <c r="B41" s="8"/>
      <c r="C41" s="8"/>
      <c r="D41" s="8"/>
      <c r="E41" s="8"/>
      <c r="F41" s="8"/>
      <c r="G41" s="8"/>
      <c r="H41" s="8"/>
      <c r="I41" s="8"/>
      <c r="J41" s="8"/>
      <c r="K41" s="8"/>
      <c r="L41" s="8"/>
      <c r="M41" s="8"/>
      <c r="N41" s="8"/>
      <c r="O41" s="8"/>
      <c r="P41" s="8"/>
    </row>
    <row r="42" spans="1:16">
      <c r="A42" s="8"/>
      <c r="B42" s="8"/>
      <c r="C42" s="8"/>
      <c r="D42" s="8"/>
      <c r="E42" s="8"/>
      <c r="F42" s="8"/>
      <c r="G42" s="8"/>
      <c r="H42" s="8"/>
      <c r="I42" s="8"/>
      <c r="J42" s="8"/>
      <c r="K42" s="8"/>
      <c r="L42" s="8"/>
      <c r="M42" s="8"/>
      <c r="N42" s="8"/>
      <c r="O42" s="8"/>
      <c r="P42" s="8"/>
    </row>
    <row r="43" spans="1:16">
      <c r="A43" s="8"/>
      <c r="B43" s="8"/>
      <c r="C43" s="8"/>
      <c r="D43" s="8"/>
      <c r="E43" s="8"/>
      <c r="F43" s="8"/>
      <c r="G43" s="8"/>
      <c r="H43" s="8"/>
      <c r="I43" s="8"/>
      <c r="J43" s="8"/>
      <c r="K43" s="8"/>
      <c r="L43" s="8"/>
      <c r="M43" s="8"/>
      <c r="N43" s="8"/>
      <c r="O43" s="8"/>
      <c r="P43" s="8"/>
    </row>
    <row r="44" spans="1:16">
      <c r="A44" s="8"/>
      <c r="B44" s="8"/>
      <c r="C44" s="8"/>
      <c r="D44" s="8"/>
      <c r="E44" s="8"/>
      <c r="F44" s="8"/>
      <c r="G44" s="8"/>
      <c r="H44" s="8"/>
      <c r="I44" s="8"/>
      <c r="J44" s="8"/>
      <c r="K44" s="8"/>
      <c r="L44" s="8"/>
      <c r="M44" s="8"/>
      <c r="N44" s="8"/>
      <c r="O44" s="8"/>
      <c r="P44" s="8"/>
    </row>
    <row r="45" spans="1:16">
      <c r="A45" s="8"/>
      <c r="B45" s="8"/>
      <c r="C45" s="8"/>
      <c r="D45" s="8"/>
      <c r="E45" s="8"/>
      <c r="F45" s="8"/>
      <c r="G45" s="8"/>
      <c r="H45" s="8"/>
      <c r="I45" s="8"/>
      <c r="J45" s="8"/>
      <c r="K45" s="8"/>
      <c r="L45" s="8"/>
      <c r="M45" s="8"/>
      <c r="N45" s="8"/>
      <c r="O45" s="8"/>
      <c r="P45" s="8"/>
    </row>
    <row r="46" spans="1:16">
      <c r="A46" s="8"/>
      <c r="B46" s="8"/>
      <c r="C46" s="8"/>
      <c r="D46" s="8"/>
      <c r="E46" s="8"/>
      <c r="F46" s="8"/>
      <c r="G46" s="8"/>
      <c r="H46" s="8"/>
      <c r="I46" s="8"/>
      <c r="J46" s="8"/>
      <c r="K46" s="8"/>
      <c r="L46" s="8"/>
      <c r="M46" s="8"/>
      <c r="N46" s="8"/>
      <c r="O46" s="8"/>
      <c r="P46" s="8"/>
    </row>
    <row r="47" spans="1:16">
      <c r="A47" s="8"/>
      <c r="B47" s="8"/>
      <c r="C47" s="8"/>
      <c r="D47" s="8"/>
      <c r="E47" s="8"/>
      <c r="F47" s="8"/>
      <c r="G47" s="8"/>
      <c r="H47" s="8"/>
      <c r="I47" s="8"/>
      <c r="J47" s="8"/>
      <c r="K47" s="8"/>
      <c r="L47" s="8"/>
      <c r="M47" s="8"/>
      <c r="N47" s="8"/>
      <c r="O47" s="8"/>
      <c r="P47" s="8"/>
    </row>
    <row r="48" spans="1:16">
      <c r="A48" s="8"/>
      <c r="B48" s="8"/>
      <c r="C48" s="8"/>
      <c r="D48" s="8"/>
      <c r="E48" s="8"/>
      <c r="F48" s="8"/>
      <c r="G48" s="8"/>
      <c r="H48" s="8"/>
      <c r="I48" s="8"/>
      <c r="J48" s="8"/>
      <c r="K48" s="8"/>
      <c r="L48" s="8"/>
      <c r="M48" s="8"/>
      <c r="N48" s="8"/>
      <c r="O48" s="8"/>
      <c r="P48" s="8"/>
    </row>
    <row r="49" spans="1:16">
      <c r="A49" s="8"/>
      <c r="B49" s="8"/>
      <c r="C49" s="8"/>
      <c r="D49" s="8"/>
      <c r="E49" s="8"/>
      <c r="F49" s="8"/>
      <c r="G49" s="8"/>
      <c r="H49" s="8"/>
      <c r="I49" s="8"/>
      <c r="J49" s="8"/>
      <c r="K49" s="8"/>
      <c r="L49" s="8"/>
      <c r="M49" s="8"/>
      <c r="N49" s="8"/>
      <c r="O49" s="8"/>
      <c r="P49" s="8"/>
    </row>
    <row r="50" spans="1:16">
      <c r="A50" s="8"/>
      <c r="B50" s="8"/>
      <c r="C50" s="8"/>
      <c r="D50" s="8"/>
      <c r="E50" s="8"/>
      <c r="F50" s="8"/>
      <c r="G50" s="8"/>
      <c r="H50" s="8"/>
      <c r="I50" s="8"/>
      <c r="J50" s="8"/>
      <c r="K50" s="8"/>
      <c r="L50" s="8"/>
      <c r="M50" s="8"/>
      <c r="N50" s="8"/>
      <c r="O50" s="8"/>
      <c r="P50" s="8"/>
    </row>
    <row r="51" spans="1:16">
      <c r="A51" s="8"/>
      <c r="B51" s="8"/>
      <c r="C51" s="8"/>
      <c r="D51" s="8"/>
      <c r="E51" s="8"/>
      <c r="F51" s="8"/>
      <c r="G51" s="8"/>
      <c r="H51" s="8"/>
      <c r="I51" s="8"/>
      <c r="J51" s="8"/>
      <c r="K51" s="8"/>
      <c r="L51" s="8"/>
      <c r="M51" s="8"/>
      <c r="N51" s="8"/>
      <c r="O51" s="8"/>
      <c r="P51" s="8"/>
    </row>
    <row r="52" spans="1:16">
      <c r="A52" s="8"/>
      <c r="B52" s="8"/>
      <c r="C52" s="8"/>
      <c r="D52" s="8"/>
      <c r="E52" s="8"/>
      <c r="F52" s="8"/>
      <c r="G52" s="8"/>
      <c r="H52" s="8"/>
      <c r="I52" s="8"/>
      <c r="J52" s="8"/>
      <c r="K52" s="8"/>
      <c r="L52" s="8"/>
      <c r="M52" s="8"/>
      <c r="N52" s="8"/>
      <c r="O52" s="8"/>
      <c r="P52" s="8"/>
    </row>
    <row r="53" spans="1:16">
      <c r="A53" s="8"/>
      <c r="B53" s="8"/>
      <c r="C53" s="8"/>
      <c r="D53" s="8"/>
      <c r="E53" s="8"/>
      <c r="F53" s="8"/>
      <c r="G53" s="8"/>
      <c r="H53" s="8"/>
      <c r="I53" s="8"/>
      <c r="J53" s="8"/>
      <c r="K53" s="8"/>
      <c r="L53" s="8"/>
      <c r="M53" s="8"/>
      <c r="N53" s="8"/>
      <c r="O53" s="8"/>
      <c r="P53" s="8"/>
    </row>
    <row r="54" spans="1:16">
      <c r="A54" s="8"/>
      <c r="B54" s="8"/>
      <c r="C54" s="8"/>
      <c r="D54" s="8"/>
      <c r="E54" s="8"/>
      <c r="F54" s="8"/>
      <c r="G54" s="8"/>
      <c r="H54" s="8"/>
      <c r="I54" s="8"/>
      <c r="J54" s="8"/>
      <c r="K54" s="8"/>
      <c r="L54" s="8"/>
      <c r="M54" s="8"/>
      <c r="N54" s="8"/>
      <c r="O54" s="8"/>
      <c r="P54" s="8"/>
    </row>
    <row r="55" spans="1:16">
      <c r="A55" s="8"/>
      <c r="B55" s="8"/>
      <c r="C55" s="8"/>
      <c r="D55" s="8"/>
      <c r="E55" s="8"/>
      <c r="F55" s="8"/>
      <c r="G55" s="8"/>
      <c r="H55" s="8"/>
      <c r="I55" s="8"/>
      <c r="J55" s="8"/>
      <c r="K55" s="8"/>
      <c r="L55" s="8"/>
      <c r="M55" s="8"/>
      <c r="N55" s="8"/>
      <c r="O55" s="8"/>
      <c r="P55" s="8"/>
    </row>
    <row r="56" spans="1:16">
      <c r="A56" s="8"/>
      <c r="B56" s="8"/>
      <c r="C56" s="8"/>
      <c r="D56" s="8"/>
      <c r="E56" s="8"/>
      <c r="F56" s="8"/>
      <c r="G56" s="8"/>
      <c r="H56" s="8"/>
      <c r="I56" s="8"/>
      <c r="J56" s="8"/>
      <c r="K56" s="8"/>
      <c r="L56" s="8"/>
      <c r="M56" s="8"/>
      <c r="N56" s="8"/>
      <c r="O56" s="8"/>
      <c r="P56" s="8"/>
    </row>
    <row r="57" spans="1:16">
      <c r="A57" s="8"/>
      <c r="B57" s="8"/>
      <c r="C57" s="8"/>
      <c r="D57" s="8"/>
      <c r="E57" s="8"/>
      <c r="F57" s="8"/>
      <c r="G57" s="8"/>
      <c r="H57" s="8"/>
      <c r="I57" s="8"/>
      <c r="J57" s="8"/>
      <c r="K57" s="8"/>
      <c r="L57" s="8"/>
      <c r="M57" s="8"/>
      <c r="N57" s="8"/>
      <c r="O57" s="8"/>
      <c r="P57" s="8"/>
    </row>
    <row r="58" spans="1:16">
      <c r="A58" s="8"/>
      <c r="B58" s="8"/>
      <c r="C58" s="8"/>
      <c r="D58" s="8"/>
      <c r="E58" s="8"/>
      <c r="F58" s="8"/>
      <c r="G58" s="8"/>
      <c r="H58" s="8"/>
      <c r="I58" s="8"/>
      <c r="J58" s="8"/>
      <c r="K58" s="8"/>
      <c r="L58" s="8"/>
      <c r="M58" s="8"/>
      <c r="N58" s="8"/>
      <c r="O58" s="8"/>
      <c r="P58" s="8"/>
    </row>
    <row r="59" spans="1:16">
      <c r="A59" s="8"/>
      <c r="B59" s="8"/>
      <c r="C59" s="8"/>
      <c r="D59" s="8"/>
      <c r="E59" s="8"/>
      <c r="F59" s="8"/>
      <c r="G59" s="8"/>
      <c r="H59" s="8"/>
      <c r="I59" s="8"/>
      <c r="J59" s="8"/>
      <c r="K59" s="8"/>
      <c r="L59" s="8"/>
      <c r="M59" s="8"/>
      <c r="N59" s="8"/>
      <c r="O59" s="8"/>
      <c r="P59" s="8"/>
    </row>
    <row r="60" spans="1:16">
      <c r="A60" s="8"/>
      <c r="B60" s="8"/>
      <c r="C60" s="8"/>
      <c r="D60" s="8"/>
      <c r="E60" s="8"/>
      <c r="F60" s="8"/>
      <c r="G60" s="8"/>
      <c r="H60" s="8"/>
      <c r="I60" s="8"/>
      <c r="J60" s="8"/>
      <c r="K60" s="8"/>
      <c r="L60" s="8"/>
      <c r="M60" s="8"/>
      <c r="N60" s="8"/>
      <c r="O60" s="8"/>
      <c r="P60" s="8"/>
    </row>
    <row r="61" spans="1:16">
      <c r="A61" s="8"/>
      <c r="B61" s="8"/>
      <c r="C61" s="8"/>
      <c r="D61" s="8"/>
      <c r="E61" s="8"/>
      <c r="F61" s="8"/>
      <c r="G61" s="8"/>
      <c r="H61" s="8"/>
      <c r="I61" s="8"/>
      <c r="J61" s="8"/>
      <c r="K61" s="8"/>
      <c r="L61" s="8"/>
      <c r="M61" s="8"/>
      <c r="N61" s="8"/>
      <c r="O61" s="8"/>
      <c r="P61" s="8"/>
    </row>
    <row r="62" spans="1:16">
      <c r="A62" s="8"/>
      <c r="B62" s="8"/>
      <c r="C62" s="8"/>
      <c r="D62" s="8"/>
      <c r="E62" s="8"/>
      <c r="F62" s="8"/>
      <c r="G62" s="8"/>
      <c r="H62" s="8"/>
      <c r="I62" s="8"/>
      <c r="J62" s="8"/>
      <c r="K62" s="8"/>
      <c r="L62" s="8"/>
      <c r="M62" s="8"/>
      <c r="N62" s="8"/>
      <c r="O62" s="8"/>
      <c r="P62" s="8"/>
    </row>
    <row r="63" spans="1:16">
      <c r="A63" s="8"/>
      <c r="B63" s="8"/>
      <c r="C63" s="8"/>
      <c r="D63" s="8"/>
      <c r="E63" s="8"/>
      <c r="F63" s="8"/>
      <c r="G63" s="8"/>
      <c r="H63" s="8"/>
      <c r="I63" s="8"/>
      <c r="J63" s="8"/>
      <c r="K63" s="8"/>
      <c r="L63" s="8"/>
      <c r="M63" s="8"/>
      <c r="N63" s="8"/>
      <c r="O63" s="8"/>
      <c r="P63" s="8"/>
    </row>
    <row r="64" spans="1:16">
      <c r="A64" s="8"/>
      <c r="B64" s="8"/>
      <c r="C64" s="8"/>
      <c r="D64" s="8"/>
      <c r="E64" s="8"/>
      <c r="F64" s="8"/>
      <c r="G64" s="8"/>
      <c r="H64" s="8"/>
      <c r="I64" s="8"/>
      <c r="J64" s="8"/>
      <c r="K64" s="8"/>
      <c r="L64" s="8"/>
      <c r="M64" s="8"/>
      <c r="N64" s="8"/>
      <c r="O64" s="8"/>
      <c r="P64" s="8"/>
    </row>
    <row r="65" spans="1:16">
      <c r="A65" s="8"/>
      <c r="B65" s="8"/>
      <c r="C65" s="8"/>
      <c r="D65" s="8"/>
      <c r="E65" s="8"/>
      <c r="F65" s="8"/>
      <c r="G65" s="8"/>
      <c r="H65" s="8"/>
      <c r="I65" s="8"/>
      <c r="J65" s="8"/>
      <c r="K65" s="8"/>
      <c r="L65" s="8"/>
      <c r="M65" s="8"/>
      <c r="N65" s="8"/>
      <c r="O65" s="8"/>
      <c r="P65" s="8"/>
    </row>
    <row r="66" spans="1:16">
      <c r="A66" s="8"/>
      <c r="B66" s="8"/>
      <c r="C66" s="8"/>
      <c r="D66" s="8"/>
      <c r="E66" s="8"/>
      <c r="F66" s="8"/>
      <c r="G66" s="8"/>
      <c r="H66" s="8"/>
      <c r="I66" s="8"/>
      <c r="J66" s="8"/>
      <c r="K66" s="8"/>
      <c r="L66" s="8"/>
      <c r="M66" s="8"/>
      <c r="N66" s="8"/>
      <c r="O66" s="8"/>
      <c r="P66" s="8"/>
    </row>
    <row r="67" spans="1:16">
      <c r="A67" s="8"/>
      <c r="B67" s="8"/>
      <c r="C67" s="8"/>
      <c r="D67" s="8"/>
      <c r="E67" s="8"/>
      <c r="F67" s="8"/>
      <c r="G67" s="8"/>
      <c r="H67" s="8"/>
      <c r="I67" s="8"/>
      <c r="J67" s="8"/>
      <c r="K67" s="8"/>
      <c r="L67" s="8"/>
      <c r="M67" s="8"/>
      <c r="N67" s="8"/>
      <c r="O67" s="8"/>
      <c r="P67" s="8"/>
    </row>
    <row r="68" spans="1:16">
      <c r="A68" s="8"/>
      <c r="B68" s="8"/>
      <c r="C68" s="8"/>
      <c r="D68" s="8"/>
      <c r="E68" s="8"/>
      <c r="F68" s="8"/>
      <c r="G68" s="8"/>
      <c r="H68" s="8"/>
      <c r="I68" s="8"/>
      <c r="J68" s="8"/>
      <c r="K68" s="8"/>
      <c r="L68" s="8"/>
      <c r="M68" s="8"/>
      <c r="N68" s="8"/>
      <c r="O68" s="8"/>
      <c r="P68" s="8"/>
    </row>
    <row r="69" spans="1:16">
      <c r="A69" s="8"/>
      <c r="B69" s="8"/>
      <c r="C69" s="8"/>
      <c r="D69" s="8"/>
      <c r="E69" s="8"/>
      <c r="F69" s="8"/>
      <c r="G69" s="8"/>
      <c r="H69" s="8"/>
      <c r="I69" s="8"/>
      <c r="J69" s="8"/>
      <c r="K69" s="8"/>
      <c r="L69" s="8"/>
      <c r="M69" s="8"/>
      <c r="N69" s="8"/>
      <c r="O69" s="8"/>
      <c r="P69" s="8"/>
    </row>
    <row r="70" spans="1:16">
      <c r="A70" s="8"/>
      <c r="B70" s="8"/>
      <c r="C70" s="8"/>
      <c r="D70" s="8"/>
      <c r="E70" s="8"/>
      <c r="F70" s="8"/>
      <c r="G70" s="8"/>
      <c r="H70" s="8"/>
      <c r="I70" s="8"/>
      <c r="J70" s="8"/>
      <c r="K70" s="8"/>
      <c r="L70" s="8"/>
      <c r="M70" s="8"/>
      <c r="N70" s="8"/>
      <c r="O70" s="8"/>
      <c r="P70" s="8"/>
    </row>
    <row r="71" spans="1:16">
      <c r="A71" s="8"/>
      <c r="B71" s="8"/>
      <c r="C71" s="8"/>
      <c r="D71" s="8"/>
      <c r="E71" s="8"/>
      <c r="F71" s="8"/>
      <c r="G71" s="8"/>
      <c r="H71" s="8"/>
      <c r="I71" s="8"/>
      <c r="J71" s="8"/>
      <c r="K71" s="8"/>
      <c r="L71" s="8"/>
      <c r="M71" s="8"/>
      <c r="N71" s="8"/>
      <c r="O71" s="8"/>
      <c r="P71" s="8"/>
    </row>
    <row r="72" spans="1:16">
      <c r="A72" s="8"/>
      <c r="B72" s="8"/>
      <c r="C72" s="8"/>
      <c r="D72" s="8"/>
      <c r="E72" s="8"/>
      <c r="F72" s="8"/>
      <c r="G72" s="8"/>
      <c r="H72" s="8"/>
      <c r="I72" s="8"/>
      <c r="J72" s="8"/>
      <c r="K72" s="8"/>
      <c r="L72" s="8"/>
      <c r="M72" s="8"/>
      <c r="N72" s="8"/>
      <c r="O72" s="8"/>
      <c r="P72" s="8"/>
    </row>
    <row r="73" spans="1:16">
      <c r="A73" s="8"/>
      <c r="B73" s="8"/>
      <c r="C73" s="8"/>
      <c r="D73" s="8"/>
      <c r="E73" s="8"/>
      <c r="F73" s="8"/>
      <c r="G73" s="8"/>
      <c r="H73" s="8"/>
      <c r="I73" s="8"/>
      <c r="J73" s="8"/>
      <c r="K73" s="8"/>
      <c r="L73" s="8"/>
      <c r="M73" s="8"/>
      <c r="N73" s="8"/>
      <c r="O73" s="8"/>
      <c r="P73" s="8"/>
    </row>
    <row r="74" spans="1:16">
      <c r="A74" s="8"/>
      <c r="B74" s="8"/>
      <c r="C74" s="8"/>
      <c r="D74" s="8"/>
      <c r="E74" s="8"/>
      <c r="F74" s="8"/>
      <c r="G74" s="8"/>
      <c r="H74" s="8"/>
      <c r="I74" s="8"/>
      <c r="J74" s="8"/>
      <c r="K74" s="8"/>
      <c r="L74" s="8"/>
      <c r="M74" s="8"/>
      <c r="N74" s="8"/>
      <c r="O74" s="8"/>
      <c r="P74" s="8"/>
    </row>
    <row r="75" spans="1:16">
      <c r="A75" s="8"/>
      <c r="B75" s="8"/>
      <c r="C75" s="8"/>
      <c r="D75" s="8"/>
      <c r="E75" s="8"/>
      <c r="F75" s="8"/>
      <c r="G75" s="8"/>
      <c r="H75" s="8"/>
      <c r="I75" s="8"/>
      <c r="J75" s="8"/>
      <c r="K75" s="8"/>
      <c r="L75" s="8"/>
      <c r="M75" s="8"/>
      <c r="N75" s="8"/>
      <c r="O75" s="8"/>
      <c r="P75" s="8"/>
    </row>
    <row r="76" spans="1:16">
      <c r="A76" s="8"/>
      <c r="B76" s="8"/>
      <c r="C76" s="8"/>
      <c r="D76" s="8"/>
      <c r="E76" s="8"/>
      <c r="F76" s="8"/>
      <c r="G76" s="8"/>
      <c r="H76" s="8"/>
      <c r="I76" s="8"/>
      <c r="J76" s="8"/>
      <c r="K76" s="8"/>
      <c r="L76" s="8"/>
      <c r="M76" s="8"/>
      <c r="N76" s="8"/>
      <c r="O76" s="8"/>
      <c r="P76" s="8"/>
    </row>
    <row r="77" spans="1:16">
      <c r="A77" s="8"/>
      <c r="B77" s="8"/>
      <c r="C77" s="8"/>
      <c r="D77" s="8"/>
      <c r="E77" s="8"/>
      <c r="F77" s="8"/>
      <c r="G77" s="8"/>
      <c r="H77" s="8"/>
      <c r="I77" s="8"/>
      <c r="J77" s="8"/>
      <c r="K77" s="8"/>
      <c r="L77" s="8"/>
      <c r="M77" s="8"/>
      <c r="N77" s="8"/>
      <c r="O77" s="8"/>
      <c r="P77" s="8"/>
    </row>
    <row r="78" spans="1:16">
      <c r="A78" s="8"/>
      <c r="B78" s="8"/>
      <c r="C78" s="8"/>
      <c r="D78" s="8"/>
      <c r="E78" s="8"/>
      <c r="F78" s="8"/>
      <c r="G78" s="8"/>
      <c r="H78" s="8"/>
      <c r="I78" s="8"/>
      <c r="J78" s="8"/>
      <c r="K78" s="8"/>
      <c r="L78" s="8"/>
      <c r="M78" s="8"/>
      <c r="N78" s="8"/>
      <c r="O78" s="8"/>
      <c r="P78" s="8"/>
    </row>
    <row r="79" spans="1:16">
      <c r="A79" s="8"/>
      <c r="B79" s="8"/>
      <c r="C79" s="8"/>
      <c r="D79" s="8"/>
      <c r="E79" s="8"/>
      <c r="F79" s="8"/>
      <c r="G79" s="8"/>
      <c r="H79" s="8"/>
      <c r="I79" s="8"/>
      <c r="J79" s="8"/>
      <c r="K79" s="8"/>
      <c r="L79" s="8"/>
      <c r="M79" s="8"/>
      <c r="N79" s="8"/>
      <c r="O79" s="8"/>
      <c r="P79" s="8"/>
    </row>
    <row r="80" spans="1:16">
      <c r="A80" s="8"/>
      <c r="B80" s="8"/>
      <c r="C80" s="8"/>
      <c r="D80" s="8"/>
      <c r="E80" s="8"/>
      <c r="F80" s="8"/>
      <c r="G80" s="8"/>
      <c r="H80" s="8"/>
      <c r="I80" s="8"/>
      <c r="J80" s="8"/>
      <c r="K80" s="8"/>
      <c r="L80" s="8"/>
      <c r="M80" s="8"/>
      <c r="N80" s="8"/>
      <c r="O80" s="8"/>
      <c r="P80" s="8"/>
    </row>
  </sheetData>
  <sheetProtection algorithmName="SHA-512" hashValue="NoAx1IdG/ca9uOr7UNdDISE1x2tYYnp+SFGrc3hD+RpMCKw4904HO3SvnHgf3rSpIOvQGvi4GSd5/yh1AuOYcw==" saltValue="cqchMZITtUJAT1Pp/7H/Yg=="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0" tint="-0.34998626667073579"/>
  </sheetPr>
  <dimension ref="A1:P80"/>
  <sheetViews>
    <sheetView workbookViewId="0"/>
  </sheetViews>
  <sheetFormatPr defaultColWidth="9.140625" defaultRowHeight="12.75"/>
  <cols>
    <col min="1" max="1" width="4.42578125" style="7" customWidth="1"/>
    <col min="2" max="16384" width="9.140625" style="7"/>
  </cols>
  <sheetData>
    <row r="1" spans="1:16" ht="15.75">
      <c r="A1" s="488" t="s">
        <v>1005</v>
      </c>
      <c r="B1" s="488"/>
      <c r="C1" s="488"/>
      <c r="D1" s="488"/>
      <c r="E1" s="488"/>
      <c r="F1" s="488"/>
      <c r="G1" s="488"/>
      <c r="M1" s="578" t="s">
        <v>2</v>
      </c>
    </row>
    <row r="2" spans="1:16" ht="15.75">
      <c r="A2" s="32"/>
      <c r="B2" s="35"/>
      <c r="C2" s="35"/>
      <c r="D2" s="35"/>
      <c r="E2" s="35"/>
      <c r="F2" s="35"/>
      <c r="G2" s="35"/>
      <c r="H2" s="7" t="s">
        <v>1006</v>
      </c>
    </row>
    <row r="3" spans="1:16">
      <c r="A3" s="11" t="s">
        <v>833</v>
      </c>
      <c r="H3" s="7" t="s">
        <v>1007</v>
      </c>
    </row>
    <row r="4" spans="1:16">
      <c r="A4" s="10" t="s">
        <v>62</v>
      </c>
    </row>
    <row r="5" spans="1:16">
      <c r="A5" s="9" t="str">
        <f ca="1">CELL("filename")</f>
        <v>C:\Users\rsaucedo\OneDrive - City of Las Vegas\CLV Charter School\[Strong Start Academy Elementary School Financial Workbook 2021.xlsx]Incubation</v>
      </c>
    </row>
    <row r="6" spans="1:16">
      <c r="A6" s="8"/>
      <c r="B6" s="8"/>
      <c r="C6" s="8"/>
      <c r="D6" s="8"/>
      <c r="E6" s="8"/>
      <c r="F6" s="8"/>
      <c r="G6" s="8"/>
      <c r="H6" s="8"/>
      <c r="I6" s="8"/>
      <c r="J6" s="8"/>
      <c r="K6" s="8"/>
      <c r="L6" s="8"/>
      <c r="M6" s="8"/>
      <c r="N6" s="8"/>
      <c r="O6" s="8"/>
      <c r="P6" s="8"/>
    </row>
    <row r="7" spans="1:16">
      <c r="A7" s="8"/>
      <c r="B7" s="8" t="s">
        <v>1008</v>
      </c>
      <c r="C7" s="8"/>
      <c r="D7" s="8"/>
      <c r="E7" s="8"/>
      <c r="F7" s="8"/>
      <c r="G7" s="8"/>
      <c r="H7" s="8"/>
      <c r="I7" s="8"/>
      <c r="J7" s="8"/>
      <c r="K7" s="8"/>
      <c r="L7" s="8"/>
      <c r="M7" s="8"/>
      <c r="N7" s="8"/>
      <c r="O7" s="8"/>
      <c r="P7" s="8"/>
    </row>
    <row r="8" spans="1:16">
      <c r="A8" s="8"/>
      <c r="B8" s="8" t="s">
        <v>1009</v>
      </c>
      <c r="C8" s="8"/>
      <c r="D8" s="8"/>
      <c r="E8" s="8"/>
      <c r="F8" s="8"/>
      <c r="G8" s="8"/>
      <c r="H8" s="8"/>
      <c r="I8" s="8"/>
      <c r="J8" s="8"/>
      <c r="K8" s="8"/>
      <c r="L8" s="8"/>
      <c r="M8" s="8"/>
      <c r="N8" s="8"/>
      <c r="O8" s="8"/>
      <c r="P8" s="8"/>
    </row>
    <row r="9" spans="1:16">
      <c r="A9" s="8"/>
      <c r="B9" s="8"/>
      <c r="C9" s="8"/>
      <c r="D9" s="8"/>
      <c r="E9" s="8"/>
      <c r="F9" s="8"/>
      <c r="G9" s="8"/>
      <c r="H9" s="8"/>
      <c r="I9" s="8"/>
      <c r="J9" s="8"/>
      <c r="K9" s="8"/>
      <c r="L9" s="8"/>
      <c r="M9" s="8"/>
      <c r="N9" s="8"/>
      <c r="O9" s="8"/>
      <c r="P9" s="8"/>
    </row>
    <row r="10" spans="1:16">
      <c r="A10" s="8"/>
      <c r="B10" s="530"/>
      <c r="C10" s="530"/>
      <c r="D10" s="530"/>
      <c r="E10" s="530"/>
      <c r="F10" s="530"/>
      <c r="G10" s="1912" t="s">
        <v>1010</v>
      </c>
      <c r="H10" s="1912"/>
      <c r="I10" s="1819" t="s">
        <v>1011</v>
      </c>
      <c r="J10" s="1819"/>
      <c r="K10" s="1819"/>
      <c r="L10" s="1819"/>
      <c r="M10" s="1819"/>
      <c r="N10" s="1819"/>
      <c r="O10" s="8"/>
      <c r="P10" s="8"/>
    </row>
    <row r="11" spans="1:16">
      <c r="A11" s="8"/>
      <c r="B11" s="531"/>
      <c r="C11" s="20"/>
      <c r="D11" s="20"/>
      <c r="E11" s="20"/>
      <c r="F11" s="20"/>
      <c r="G11" s="532" t="s">
        <v>1012</v>
      </c>
      <c r="H11" s="532" t="s">
        <v>1013</v>
      </c>
      <c r="I11" s="532" t="s">
        <v>472</v>
      </c>
      <c r="J11" s="532">
        <v>1</v>
      </c>
      <c r="K11" s="532">
        <f>+J11+1</f>
        <v>2</v>
      </c>
      <c r="L11" s="532">
        <f>+K11+1</f>
        <v>3</v>
      </c>
      <c r="M11" s="532">
        <f>+L11+1</f>
        <v>4</v>
      </c>
      <c r="N11" s="532">
        <f>+M11+1</f>
        <v>5</v>
      </c>
      <c r="O11" s="8"/>
      <c r="P11" s="8"/>
    </row>
    <row r="12" spans="1:16">
      <c r="A12" s="8"/>
      <c r="C12" s="8"/>
      <c r="D12" s="8"/>
      <c r="E12" s="8"/>
      <c r="F12" s="8"/>
      <c r="G12" s="8"/>
      <c r="H12" s="8"/>
      <c r="I12" s="8"/>
      <c r="J12" s="8"/>
      <c r="K12" s="8"/>
      <c r="L12" s="8"/>
      <c r="M12" s="8"/>
      <c r="N12" s="8"/>
      <c r="O12" s="8"/>
      <c r="P12" s="8"/>
    </row>
    <row r="13" spans="1:16">
      <c r="A13" s="8"/>
      <c r="B13" s="533" t="s">
        <v>1014</v>
      </c>
      <c r="C13" s="20"/>
      <c r="D13" s="20"/>
      <c r="E13" s="20"/>
      <c r="F13" s="20"/>
      <c r="G13" s="20"/>
      <c r="H13" s="20"/>
      <c r="I13" s="20"/>
      <c r="J13" s="20"/>
      <c r="K13" s="20"/>
      <c r="L13" s="20"/>
      <c r="M13" s="20"/>
      <c r="N13" s="20"/>
      <c r="O13" s="8"/>
      <c r="P13" s="8"/>
    </row>
    <row r="14" spans="1:16">
      <c r="A14" s="8"/>
      <c r="B14" s="534" t="s">
        <v>1015</v>
      </c>
      <c r="C14" s="534"/>
      <c r="D14" s="534"/>
      <c r="E14" s="534"/>
      <c r="F14" s="534"/>
      <c r="G14" s="535"/>
      <c r="H14" s="535"/>
      <c r="I14" s="535"/>
      <c r="J14" s="535"/>
      <c r="K14" s="535"/>
      <c r="L14" s="535"/>
      <c r="M14" s="535"/>
      <c r="N14" s="535"/>
      <c r="O14" s="8"/>
      <c r="P14" s="8"/>
    </row>
    <row r="15" spans="1:16">
      <c r="A15" s="8"/>
      <c r="B15" s="536" t="s">
        <v>1016</v>
      </c>
      <c r="C15" s="536"/>
      <c r="D15" s="536"/>
      <c r="E15" s="536"/>
      <c r="F15" s="536"/>
      <c r="G15" s="537"/>
      <c r="H15" s="537"/>
      <c r="I15" s="537"/>
      <c r="J15" s="537"/>
      <c r="K15" s="537"/>
      <c r="L15" s="537"/>
      <c r="M15" s="537"/>
      <c r="N15" s="537"/>
      <c r="O15" s="8"/>
      <c r="P15" s="8"/>
    </row>
    <row r="16" spans="1:16">
      <c r="A16" s="8"/>
      <c r="B16" s="536" t="s">
        <v>1017</v>
      </c>
      <c r="C16" s="536"/>
      <c r="D16" s="536"/>
      <c r="E16" s="536"/>
      <c r="F16" s="536"/>
      <c r="G16" s="537"/>
      <c r="H16" s="537"/>
      <c r="I16" s="537"/>
      <c r="J16" s="537"/>
      <c r="K16" s="537"/>
      <c r="L16" s="537"/>
      <c r="M16" s="537"/>
      <c r="N16" s="537"/>
      <c r="O16" s="8"/>
      <c r="P16" s="8"/>
    </row>
    <row r="17" spans="1:16">
      <c r="A17" s="8"/>
      <c r="B17" s="536" t="s">
        <v>1018</v>
      </c>
      <c r="C17" s="536"/>
      <c r="D17" s="536"/>
      <c r="E17" s="536"/>
      <c r="F17" s="536"/>
      <c r="G17" s="537"/>
      <c r="H17" s="537"/>
      <c r="I17" s="537"/>
      <c r="J17" s="537"/>
      <c r="K17" s="537"/>
      <c r="L17" s="537"/>
      <c r="M17" s="537"/>
      <c r="N17" s="537"/>
      <c r="O17" s="8"/>
      <c r="P17" s="8"/>
    </row>
    <row r="18" spans="1:16">
      <c r="A18" s="8"/>
      <c r="B18" s="536" t="s">
        <v>1019</v>
      </c>
      <c r="C18" s="536"/>
      <c r="D18" s="536"/>
      <c r="E18" s="536"/>
      <c r="F18" s="536"/>
      <c r="G18" s="537"/>
      <c r="H18" s="537"/>
      <c r="I18" s="537"/>
      <c r="J18" s="537"/>
      <c r="K18" s="537"/>
      <c r="L18" s="537"/>
      <c r="M18" s="537"/>
      <c r="N18" s="537"/>
      <c r="O18" s="8"/>
      <c r="P18" s="8"/>
    </row>
    <row r="19" spans="1:16">
      <c r="A19" s="8"/>
      <c r="B19" s="536" t="s">
        <v>1020</v>
      </c>
      <c r="C19" s="536"/>
      <c r="D19" s="536"/>
      <c r="E19" s="536"/>
      <c r="F19" s="536"/>
      <c r="G19" s="537"/>
      <c r="H19" s="537"/>
      <c r="I19" s="537"/>
      <c r="J19" s="537"/>
      <c r="K19" s="537"/>
      <c r="L19" s="537"/>
      <c r="M19" s="537"/>
      <c r="N19" s="537"/>
      <c r="O19" s="8"/>
      <c r="P19" s="8"/>
    </row>
    <row r="20" spans="1:16">
      <c r="A20" s="8"/>
      <c r="B20" s="536" t="s">
        <v>1021</v>
      </c>
      <c r="C20" s="536"/>
      <c r="D20" s="536"/>
      <c r="E20" s="536"/>
      <c r="F20" s="536"/>
      <c r="G20" s="537"/>
      <c r="H20" s="537"/>
      <c r="I20" s="537"/>
      <c r="J20" s="537"/>
      <c r="K20" s="537"/>
      <c r="L20" s="537"/>
      <c r="M20" s="537"/>
      <c r="N20" s="537"/>
      <c r="O20" s="8"/>
      <c r="P20" s="8"/>
    </row>
    <row r="21" spans="1:16">
      <c r="A21" s="8"/>
      <c r="B21" s="536" t="s">
        <v>1022</v>
      </c>
      <c r="C21" s="536"/>
      <c r="D21" s="536"/>
      <c r="E21" s="536"/>
      <c r="F21" s="536"/>
      <c r="G21" s="537"/>
      <c r="H21" s="537"/>
      <c r="I21" s="537"/>
      <c r="J21" s="537"/>
      <c r="K21" s="537"/>
      <c r="L21" s="537"/>
      <c r="M21" s="537"/>
      <c r="N21" s="537"/>
      <c r="O21" s="8"/>
      <c r="P21" s="8"/>
    </row>
    <row r="22" spans="1:16">
      <c r="A22" s="8"/>
      <c r="B22" s="536" t="s">
        <v>1023</v>
      </c>
      <c r="C22" s="536"/>
      <c r="D22" s="536"/>
      <c r="E22" s="536"/>
      <c r="F22" s="536"/>
      <c r="G22" s="537"/>
      <c r="H22" s="537"/>
      <c r="I22" s="537"/>
      <c r="J22" s="537"/>
      <c r="K22" s="537"/>
      <c r="L22" s="537"/>
      <c r="M22" s="537"/>
      <c r="N22" s="537"/>
      <c r="O22" s="8"/>
      <c r="P22" s="8"/>
    </row>
    <row r="23" spans="1:16">
      <c r="A23" s="8"/>
      <c r="B23" s="536" t="s">
        <v>1024</v>
      </c>
      <c r="C23" s="536"/>
      <c r="D23" s="536"/>
      <c r="E23" s="536"/>
      <c r="F23" s="536"/>
      <c r="G23" s="537"/>
      <c r="H23" s="537"/>
      <c r="I23" s="537"/>
      <c r="J23" s="537"/>
      <c r="K23" s="537"/>
      <c r="L23" s="537"/>
      <c r="M23" s="537"/>
      <c r="N23" s="537"/>
      <c r="O23" s="8"/>
      <c r="P23" s="8"/>
    </row>
    <row r="24" spans="1:16">
      <c r="A24" s="8"/>
      <c r="B24" s="536" t="s">
        <v>1025</v>
      </c>
      <c r="C24" s="536"/>
      <c r="D24" s="536"/>
      <c r="E24" s="536"/>
      <c r="F24" s="536"/>
      <c r="G24" s="537"/>
      <c r="H24" s="537"/>
      <c r="I24" s="537"/>
      <c r="J24" s="537"/>
      <c r="K24" s="537"/>
      <c r="L24" s="537"/>
      <c r="M24" s="537"/>
      <c r="N24" s="537"/>
      <c r="O24" s="8"/>
      <c r="P24" s="8"/>
    </row>
    <row r="25" spans="1:16">
      <c r="A25" s="8"/>
      <c r="B25" s="536" t="s">
        <v>1026</v>
      </c>
      <c r="C25" s="536"/>
      <c r="D25" s="536"/>
      <c r="E25" s="536"/>
      <c r="F25" s="536"/>
      <c r="G25" s="537"/>
      <c r="H25" s="537"/>
      <c r="I25" s="537"/>
      <c r="J25" s="537"/>
      <c r="K25" s="537"/>
      <c r="L25" s="537"/>
      <c r="M25" s="537"/>
      <c r="N25" s="537"/>
      <c r="O25" s="8"/>
      <c r="P25" s="8"/>
    </row>
    <row r="26" spans="1:16">
      <c r="A26" s="8"/>
      <c r="B26" s="8"/>
      <c r="C26" s="8"/>
      <c r="D26" s="8"/>
      <c r="E26" s="8"/>
      <c r="F26" s="8"/>
      <c r="G26" s="8"/>
      <c r="H26" s="8"/>
      <c r="I26" s="8">
        <f>SUM(I14:I25)</f>
        <v>0</v>
      </c>
      <c r="J26" s="8">
        <f t="shared" ref="J26:N26" si="0">SUM(J14:J25)</f>
        <v>0</v>
      </c>
      <c r="K26" s="8">
        <f t="shared" si="0"/>
        <v>0</v>
      </c>
      <c r="L26" s="8">
        <f t="shared" si="0"/>
        <v>0</v>
      </c>
      <c r="M26" s="8">
        <f t="shared" si="0"/>
        <v>0</v>
      </c>
      <c r="N26" s="8">
        <f t="shared" si="0"/>
        <v>0</v>
      </c>
      <c r="O26" s="8"/>
      <c r="P26" s="8"/>
    </row>
    <row r="27" spans="1:16">
      <c r="A27" s="8"/>
      <c r="B27" s="8"/>
      <c r="C27" s="8"/>
      <c r="D27" s="8"/>
      <c r="E27" s="8"/>
      <c r="F27" s="8"/>
      <c r="G27" s="8"/>
      <c r="H27" s="8"/>
      <c r="I27" s="8"/>
      <c r="J27" s="8"/>
      <c r="K27" s="8"/>
      <c r="L27" s="8"/>
      <c r="M27" s="8"/>
      <c r="N27" s="8"/>
      <c r="O27" s="8"/>
      <c r="P27" s="8"/>
    </row>
    <row r="28" spans="1:16">
      <c r="A28" s="8"/>
      <c r="B28" s="533" t="s">
        <v>1027</v>
      </c>
      <c r="C28" s="20"/>
      <c r="D28" s="20"/>
      <c r="E28" s="20"/>
      <c r="F28" s="20"/>
      <c r="G28" s="20"/>
      <c r="H28" s="20"/>
      <c r="I28" s="20"/>
      <c r="J28" s="20"/>
      <c r="K28" s="20"/>
      <c r="L28" s="20"/>
      <c r="M28" s="20"/>
      <c r="N28" s="20"/>
      <c r="O28" s="8"/>
      <c r="P28" s="8"/>
    </row>
    <row r="29" spans="1:16">
      <c r="A29" s="8"/>
      <c r="B29" s="534" t="s">
        <v>1028</v>
      </c>
      <c r="C29" s="534"/>
      <c r="D29" s="534"/>
      <c r="E29" s="534"/>
      <c r="F29" s="534"/>
      <c r="G29" s="535"/>
      <c r="H29" s="535"/>
      <c r="I29" s="535"/>
      <c r="J29" s="535"/>
      <c r="K29" s="535"/>
      <c r="L29" s="535"/>
      <c r="M29" s="535"/>
      <c r="N29" s="535"/>
      <c r="O29" s="8"/>
      <c r="P29" s="8"/>
    </row>
    <row r="30" spans="1:16">
      <c r="A30" s="8"/>
      <c r="B30" s="536" t="s">
        <v>1029</v>
      </c>
      <c r="C30" s="536"/>
      <c r="D30" s="536"/>
      <c r="E30" s="536"/>
      <c r="F30" s="536"/>
      <c r="G30" s="537"/>
      <c r="H30" s="537"/>
      <c r="I30" s="537"/>
      <c r="J30" s="537"/>
      <c r="K30" s="537"/>
      <c r="L30" s="537"/>
      <c r="M30" s="537"/>
      <c r="N30" s="537"/>
      <c r="O30" s="8"/>
      <c r="P30" s="8"/>
    </row>
    <row r="31" spans="1:16">
      <c r="A31" s="8"/>
      <c r="B31" s="536" t="s">
        <v>1030</v>
      </c>
      <c r="C31" s="536"/>
      <c r="D31" s="536"/>
      <c r="E31" s="536"/>
      <c r="F31" s="536"/>
      <c r="G31" s="537"/>
      <c r="H31" s="537"/>
      <c r="I31" s="537"/>
      <c r="J31" s="537"/>
      <c r="K31" s="537"/>
      <c r="L31" s="537"/>
      <c r="M31" s="537"/>
      <c r="N31" s="537"/>
      <c r="O31" s="8"/>
      <c r="P31" s="8"/>
    </row>
    <row r="32" spans="1:16">
      <c r="A32" s="8"/>
      <c r="B32" s="536" t="s">
        <v>1031</v>
      </c>
      <c r="C32" s="536"/>
      <c r="D32" s="536"/>
      <c r="E32" s="536"/>
      <c r="F32" s="536"/>
      <c r="G32" s="537"/>
      <c r="H32" s="537"/>
      <c r="I32" s="537"/>
      <c r="J32" s="537"/>
      <c r="K32" s="537"/>
      <c r="L32" s="537"/>
      <c r="M32" s="537"/>
      <c r="N32" s="537"/>
      <c r="O32" s="8"/>
      <c r="P32" s="8"/>
    </row>
    <row r="33" spans="1:16">
      <c r="A33" s="8"/>
      <c r="B33" s="536" t="s">
        <v>1032</v>
      </c>
      <c r="C33" s="536"/>
      <c r="D33" s="536"/>
      <c r="E33" s="536"/>
      <c r="F33" s="536"/>
      <c r="G33" s="537"/>
      <c r="H33" s="537"/>
      <c r="I33" s="537"/>
      <c r="J33" s="537"/>
      <c r="K33" s="537"/>
      <c r="L33" s="537"/>
      <c r="M33" s="537"/>
      <c r="N33" s="537"/>
      <c r="O33" s="8"/>
      <c r="P33" s="8"/>
    </row>
    <row r="34" spans="1:16">
      <c r="A34" s="8"/>
      <c r="B34" s="538" t="s">
        <v>1033</v>
      </c>
      <c r="C34" s="536"/>
      <c r="D34" s="536"/>
      <c r="E34" s="536"/>
      <c r="F34" s="536"/>
      <c r="G34" s="537"/>
      <c r="H34" s="537"/>
      <c r="I34" s="537"/>
      <c r="J34" s="537"/>
      <c r="K34" s="537"/>
      <c r="L34" s="537"/>
      <c r="M34" s="537"/>
      <c r="N34" s="537"/>
      <c r="O34" s="8"/>
      <c r="P34" s="8"/>
    </row>
    <row r="35" spans="1:16">
      <c r="A35" s="8"/>
      <c r="B35" s="538" t="s">
        <v>1034</v>
      </c>
      <c r="C35" s="536"/>
      <c r="D35" s="536"/>
      <c r="E35" s="536"/>
      <c r="F35" s="536"/>
      <c r="G35" s="537"/>
      <c r="H35" s="537"/>
      <c r="I35" s="537"/>
      <c r="J35" s="537"/>
      <c r="K35" s="537"/>
      <c r="L35" s="537"/>
      <c r="M35" s="537"/>
      <c r="N35" s="537"/>
      <c r="O35" s="8"/>
      <c r="P35" s="8"/>
    </row>
    <row r="36" spans="1:16">
      <c r="A36" s="8"/>
      <c r="B36" s="538" t="s">
        <v>1035</v>
      </c>
      <c r="C36" s="536"/>
      <c r="D36" s="536"/>
      <c r="E36" s="536"/>
      <c r="F36" s="536"/>
      <c r="G36" s="537"/>
      <c r="H36" s="537"/>
      <c r="I36" s="537"/>
      <c r="J36" s="537"/>
      <c r="K36" s="537"/>
      <c r="L36" s="537"/>
      <c r="M36" s="537"/>
      <c r="N36" s="537"/>
      <c r="O36" s="8"/>
      <c r="P36" s="8"/>
    </row>
    <row r="37" spans="1:16">
      <c r="A37" s="8"/>
      <c r="B37" s="538" t="s">
        <v>1036</v>
      </c>
      <c r="C37" s="536"/>
      <c r="D37" s="536"/>
      <c r="E37" s="536"/>
      <c r="F37" s="536"/>
      <c r="G37" s="537"/>
      <c r="H37" s="537"/>
      <c r="I37" s="537"/>
      <c r="J37" s="537"/>
      <c r="K37" s="537"/>
      <c r="L37" s="537"/>
      <c r="M37" s="537"/>
      <c r="N37" s="537"/>
      <c r="O37" s="8"/>
      <c r="P37" s="8"/>
    </row>
    <row r="38" spans="1:16">
      <c r="A38" s="8"/>
      <c r="B38" s="538" t="s">
        <v>1037</v>
      </c>
      <c r="C38" s="536"/>
      <c r="D38" s="536"/>
      <c r="E38" s="536"/>
      <c r="F38" s="536"/>
      <c r="G38" s="537"/>
      <c r="H38" s="537"/>
      <c r="I38" s="537"/>
      <c r="J38" s="537"/>
      <c r="K38" s="537"/>
      <c r="L38" s="537"/>
      <c r="M38" s="537"/>
      <c r="N38" s="537"/>
      <c r="O38" s="8"/>
      <c r="P38" s="8"/>
    </row>
    <row r="39" spans="1:16">
      <c r="A39" s="8"/>
      <c r="B39" s="8"/>
      <c r="C39" s="8"/>
      <c r="D39" s="8"/>
      <c r="E39" s="8"/>
      <c r="F39" s="8"/>
      <c r="G39" s="8"/>
      <c r="H39" s="8"/>
      <c r="I39" s="8">
        <f>SUM(I29:I38)</f>
        <v>0</v>
      </c>
      <c r="J39" s="8">
        <f t="shared" ref="J39:N39" si="1">SUM(J29:J38)</f>
        <v>0</v>
      </c>
      <c r="K39" s="8">
        <f t="shared" si="1"/>
        <v>0</v>
      </c>
      <c r="L39" s="8">
        <f t="shared" si="1"/>
        <v>0</v>
      </c>
      <c r="M39" s="8">
        <f t="shared" si="1"/>
        <v>0</v>
      </c>
      <c r="N39" s="8">
        <f t="shared" si="1"/>
        <v>0</v>
      </c>
      <c r="O39" s="8"/>
      <c r="P39" s="8"/>
    </row>
    <row r="40" spans="1:16">
      <c r="A40" s="8"/>
      <c r="B40" s="8"/>
      <c r="C40" s="8"/>
      <c r="D40" s="8"/>
      <c r="E40" s="8"/>
      <c r="F40" s="8"/>
      <c r="G40" s="8"/>
      <c r="H40" s="8"/>
      <c r="I40" s="8"/>
      <c r="J40" s="8"/>
      <c r="K40" s="8"/>
      <c r="L40" s="8"/>
      <c r="M40" s="8"/>
      <c r="N40" s="8"/>
      <c r="O40" s="8"/>
      <c r="P40" s="8"/>
    </row>
    <row r="41" spans="1:16">
      <c r="A41" s="8"/>
      <c r="B41" s="8" t="s">
        <v>1038</v>
      </c>
      <c r="C41" s="8"/>
      <c r="D41" s="8"/>
      <c r="E41" s="8"/>
      <c r="F41" s="8"/>
      <c r="G41" s="8"/>
      <c r="H41" s="8"/>
      <c r="I41" s="8"/>
      <c r="J41" s="8"/>
      <c r="K41" s="8"/>
      <c r="L41" s="8"/>
      <c r="M41" s="8"/>
      <c r="N41" s="8"/>
      <c r="O41" s="8"/>
      <c r="P41" s="8"/>
    </row>
    <row r="42" spans="1:16">
      <c r="A42" s="8"/>
      <c r="B42" s="8" t="s">
        <v>1039</v>
      </c>
      <c r="C42" s="8"/>
      <c r="D42" s="8"/>
      <c r="E42" s="8"/>
      <c r="F42" s="8"/>
      <c r="G42" s="8"/>
      <c r="H42" s="8"/>
      <c r="I42" s="8"/>
      <c r="J42" s="8"/>
      <c r="K42" s="8"/>
      <c r="L42" s="8"/>
      <c r="M42" s="8"/>
      <c r="N42" s="8"/>
      <c r="O42" s="8"/>
      <c r="P42" s="8"/>
    </row>
    <row r="43" spans="1:16">
      <c r="A43" s="8"/>
      <c r="B43" s="8" t="s">
        <v>1040</v>
      </c>
      <c r="C43" s="8"/>
      <c r="D43" s="8"/>
      <c r="E43" s="8"/>
      <c r="F43" s="8"/>
      <c r="G43" s="8"/>
      <c r="H43" s="8"/>
      <c r="I43" s="8"/>
      <c r="J43" s="8"/>
      <c r="K43" s="8"/>
      <c r="L43" s="8"/>
      <c r="M43" s="8"/>
      <c r="N43" s="8"/>
      <c r="O43" s="8"/>
      <c r="P43" s="8"/>
    </row>
    <row r="44" spans="1:16">
      <c r="A44" s="8"/>
      <c r="B44" s="8"/>
      <c r="C44" s="8"/>
      <c r="D44" s="8"/>
      <c r="E44" s="8"/>
      <c r="F44" s="8"/>
      <c r="G44" s="8"/>
      <c r="H44" s="8"/>
      <c r="I44" s="8"/>
      <c r="J44" s="8"/>
      <c r="K44" s="8"/>
      <c r="L44" s="8"/>
      <c r="M44" s="8"/>
      <c r="N44" s="8"/>
      <c r="O44" s="8"/>
      <c r="P44" s="8"/>
    </row>
    <row r="45" spans="1:16">
      <c r="A45" s="8"/>
      <c r="B45" s="8"/>
      <c r="C45" s="8"/>
      <c r="D45" s="8"/>
      <c r="E45" s="8"/>
      <c r="F45" s="8"/>
      <c r="G45" s="8"/>
      <c r="H45" s="8"/>
      <c r="I45" s="8"/>
      <c r="J45" s="8"/>
      <c r="K45" s="8"/>
      <c r="L45" s="8"/>
      <c r="M45" s="8"/>
      <c r="N45" s="8"/>
      <c r="O45" s="8"/>
      <c r="P45" s="8"/>
    </row>
    <row r="46" spans="1:16">
      <c r="A46" s="8"/>
      <c r="B46" s="8"/>
      <c r="C46" s="8"/>
      <c r="D46" s="8"/>
      <c r="E46" s="8"/>
      <c r="F46" s="8"/>
      <c r="G46" s="8"/>
      <c r="H46" s="8"/>
      <c r="I46" s="8"/>
      <c r="J46" s="8"/>
      <c r="K46" s="8"/>
      <c r="L46" s="8"/>
      <c r="M46" s="8"/>
      <c r="N46" s="8"/>
      <c r="O46" s="8"/>
      <c r="P46" s="8"/>
    </row>
    <row r="47" spans="1:16">
      <c r="A47" s="8"/>
      <c r="B47" s="8"/>
      <c r="C47" s="8"/>
      <c r="D47" s="8"/>
      <c r="E47" s="8"/>
      <c r="F47" s="8"/>
      <c r="G47" s="8"/>
      <c r="H47" s="8"/>
      <c r="I47" s="8"/>
      <c r="J47" s="8"/>
      <c r="K47" s="8"/>
      <c r="L47" s="8"/>
      <c r="M47" s="8"/>
      <c r="N47" s="8"/>
      <c r="O47" s="8"/>
      <c r="P47" s="8"/>
    </row>
    <row r="48" spans="1:16">
      <c r="A48" s="8"/>
      <c r="B48" s="8"/>
      <c r="C48" s="8"/>
      <c r="D48" s="8"/>
      <c r="E48" s="8"/>
      <c r="F48" s="8"/>
      <c r="G48" s="8"/>
      <c r="H48" s="8"/>
      <c r="I48" s="8"/>
      <c r="J48" s="8"/>
      <c r="K48" s="8"/>
      <c r="L48" s="8"/>
      <c r="M48" s="8"/>
      <c r="N48" s="8"/>
      <c r="O48" s="8"/>
      <c r="P48" s="8"/>
    </row>
    <row r="49" spans="1:16">
      <c r="A49" s="8"/>
      <c r="B49" s="8"/>
      <c r="C49" s="8"/>
      <c r="D49" s="8"/>
      <c r="E49" s="8"/>
      <c r="F49" s="8"/>
      <c r="G49" s="8"/>
      <c r="H49" s="8"/>
      <c r="I49" s="8"/>
      <c r="J49" s="8"/>
      <c r="K49" s="8"/>
      <c r="L49" s="8"/>
      <c r="M49" s="8"/>
      <c r="N49" s="8"/>
      <c r="O49" s="8"/>
      <c r="P49" s="8"/>
    </row>
    <row r="50" spans="1:16">
      <c r="A50" s="8"/>
      <c r="B50" s="8"/>
      <c r="C50" s="8"/>
      <c r="D50" s="8"/>
      <c r="E50" s="8"/>
      <c r="F50" s="8"/>
      <c r="G50" s="8"/>
      <c r="H50" s="8"/>
      <c r="I50" s="8"/>
      <c r="J50" s="8"/>
      <c r="K50" s="8"/>
      <c r="L50" s="8"/>
      <c r="M50" s="8"/>
      <c r="N50" s="8"/>
      <c r="O50" s="8"/>
      <c r="P50" s="8"/>
    </row>
    <row r="51" spans="1:16">
      <c r="A51" s="8"/>
      <c r="B51" s="8"/>
      <c r="C51" s="8"/>
      <c r="D51" s="8"/>
      <c r="E51" s="8"/>
      <c r="F51" s="8"/>
      <c r="G51" s="8"/>
      <c r="H51" s="8"/>
      <c r="I51" s="8"/>
      <c r="J51" s="8"/>
      <c r="K51" s="8"/>
      <c r="L51" s="8"/>
      <c r="M51" s="8"/>
      <c r="N51" s="8"/>
      <c r="O51" s="8"/>
      <c r="P51" s="8"/>
    </row>
    <row r="52" spans="1:16">
      <c r="A52" s="8"/>
      <c r="B52" s="8"/>
      <c r="C52" s="8"/>
      <c r="D52" s="8"/>
      <c r="E52" s="8"/>
      <c r="F52" s="8"/>
      <c r="G52" s="8"/>
      <c r="H52" s="8"/>
      <c r="I52" s="8"/>
      <c r="J52" s="8"/>
      <c r="K52" s="8"/>
      <c r="L52" s="8"/>
      <c r="M52" s="8"/>
      <c r="N52" s="8"/>
      <c r="O52" s="8"/>
      <c r="P52" s="8"/>
    </row>
    <row r="53" spans="1:16">
      <c r="A53" s="8"/>
      <c r="B53" s="8"/>
      <c r="C53" s="8"/>
      <c r="D53" s="8"/>
      <c r="E53" s="8"/>
      <c r="F53" s="8"/>
      <c r="G53" s="8"/>
      <c r="H53" s="8"/>
      <c r="I53" s="8"/>
      <c r="J53" s="8"/>
      <c r="K53" s="8"/>
      <c r="L53" s="8"/>
      <c r="M53" s="8"/>
      <c r="N53" s="8"/>
      <c r="O53" s="8"/>
      <c r="P53" s="8"/>
    </row>
    <row r="54" spans="1:16">
      <c r="A54" s="8"/>
      <c r="B54" s="8"/>
      <c r="C54" s="8"/>
      <c r="D54" s="8"/>
      <c r="E54" s="8"/>
      <c r="F54" s="8"/>
      <c r="G54" s="8"/>
      <c r="H54" s="8"/>
      <c r="I54" s="8"/>
      <c r="J54" s="8"/>
      <c r="K54" s="8"/>
      <c r="L54" s="8"/>
      <c r="M54" s="8"/>
      <c r="N54" s="8"/>
      <c r="O54" s="8"/>
      <c r="P54" s="8"/>
    </row>
    <row r="55" spans="1:16">
      <c r="A55" s="8"/>
      <c r="B55" s="8"/>
      <c r="C55" s="8"/>
      <c r="D55" s="8"/>
      <c r="E55" s="8"/>
      <c r="F55" s="8"/>
      <c r="G55" s="8"/>
      <c r="H55" s="8"/>
      <c r="I55" s="8"/>
      <c r="J55" s="8"/>
      <c r="K55" s="8"/>
      <c r="L55" s="8"/>
      <c r="M55" s="8"/>
      <c r="N55" s="8"/>
      <c r="O55" s="8"/>
      <c r="P55" s="8"/>
    </row>
    <row r="56" spans="1:16">
      <c r="A56" s="8"/>
      <c r="B56" s="8"/>
      <c r="C56" s="8"/>
      <c r="D56" s="8"/>
      <c r="E56" s="8"/>
      <c r="F56" s="8"/>
      <c r="G56" s="8"/>
      <c r="H56" s="8"/>
      <c r="I56" s="8"/>
      <c r="J56" s="8"/>
      <c r="K56" s="8"/>
      <c r="L56" s="8"/>
      <c r="M56" s="8"/>
      <c r="N56" s="8"/>
      <c r="O56" s="8"/>
      <c r="P56" s="8"/>
    </row>
    <row r="57" spans="1:16">
      <c r="A57" s="8"/>
      <c r="B57" s="8"/>
      <c r="C57" s="8"/>
      <c r="D57" s="8"/>
      <c r="E57" s="8"/>
      <c r="F57" s="8"/>
      <c r="G57" s="8"/>
      <c r="H57" s="8"/>
      <c r="I57" s="8"/>
      <c r="J57" s="8"/>
      <c r="K57" s="8"/>
      <c r="L57" s="8"/>
      <c r="M57" s="8"/>
      <c r="N57" s="8"/>
      <c r="O57" s="8"/>
      <c r="P57" s="8"/>
    </row>
    <row r="58" spans="1:16">
      <c r="A58" s="8"/>
      <c r="B58" s="8"/>
      <c r="C58" s="8"/>
      <c r="D58" s="8"/>
      <c r="E58" s="8"/>
      <c r="F58" s="8"/>
      <c r="G58" s="8"/>
      <c r="H58" s="8"/>
      <c r="I58" s="8"/>
      <c r="J58" s="8"/>
      <c r="K58" s="8"/>
      <c r="L58" s="8"/>
      <c r="M58" s="8"/>
      <c r="N58" s="8"/>
      <c r="O58" s="8"/>
      <c r="P58" s="8"/>
    </row>
    <row r="59" spans="1:16">
      <c r="A59" s="8"/>
      <c r="B59" s="8"/>
      <c r="C59" s="8"/>
      <c r="D59" s="8"/>
      <c r="E59" s="8"/>
      <c r="F59" s="8"/>
      <c r="G59" s="8"/>
      <c r="H59" s="8"/>
      <c r="I59" s="8"/>
      <c r="J59" s="8"/>
      <c r="K59" s="8"/>
      <c r="L59" s="8"/>
      <c r="M59" s="8"/>
      <c r="N59" s="8"/>
      <c r="O59" s="8"/>
      <c r="P59" s="8"/>
    </row>
    <row r="60" spans="1:16">
      <c r="A60" s="8"/>
      <c r="B60" s="8"/>
      <c r="C60" s="8"/>
      <c r="D60" s="8"/>
      <c r="E60" s="8"/>
      <c r="F60" s="8"/>
      <c r="G60" s="8"/>
      <c r="H60" s="8"/>
      <c r="I60" s="8"/>
      <c r="J60" s="8"/>
      <c r="K60" s="8"/>
      <c r="L60" s="8"/>
      <c r="M60" s="8"/>
      <c r="N60" s="8"/>
      <c r="O60" s="8"/>
      <c r="P60" s="8"/>
    </row>
    <row r="61" spans="1:16">
      <c r="A61" s="8"/>
      <c r="B61" s="8"/>
      <c r="C61" s="8"/>
      <c r="D61" s="8"/>
      <c r="E61" s="8"/>
      <c r="F61" s="8"/>
      <c r="G61" s="8"/>
      <c r="H61" s="8"/>
      <c r="I61" s="8"/>
      <c r="J61" s="8"/>
      <c r="K61" s="8"/>
      <c r="L61" s="8"/>
      <c r="M61" s="8"/>
      <c r="N61" s="8"/>
      <c r="O61" s="8"/>
      <c r="P61" s="8"/>
    </row>
    <row r="62" spans="1:16">
      <c r="A62" s="8"/>
      <c r="B62" s="8"/>
      <c r="C62" s="8"/>
      <c r="D62" s="8"/>
      <c r="E62" s="8"/>
      <c r="F62" s="8"/>
      <c r="G62" s="8"/>
      <c r="H62" s="8"/>
      <c r="I62" s="8"/>
      <c r="J62" s="8"/>
      <c r="K62" s="8"/>
      <c r="L62" s="8"/>
      <c r="M62" s="8"/>
      <c r="N62" s="8"/>
      <c r="O62" s="8"/>
      <c r="P62" s="8"/>
    </row>
    <row r="63" spans="1:16">
      <c r="A63" s="8"/>
      <c r="B63" s="8"/>
      <c r="C63" s="8"/>
      <c r="D63" s="8"/>
      <c r="E63" s="8"/>
      <c r="F63" s="8"/>
      <c r="G63" s="8"/>
      <c r="H63" s="8"/>
      <c r="I63" s="8"/>
      <c r="J63" s="8"/>
      <c r="K63" s="8"/>
      <c r="L63" s="8"/>
      <c r="M63" s="8"/>
      <c r="N63" s="8"/>
      <c r="O63" s="8"/>
      <c r="P63" s="8"/>
    </row>
    <row r="64" spans="1:16">
      <c r="A64" s="8"/>
      <c r="B64" s="8"/>
      <c r="C64" s="8"/>
      <c r="D64" s="8"/>
      <c r="E64" s="8"/>
      <c r="F64" s="8"/>
      <c r="G64" s="8"/>
      <c r="H64" s="8"/>
      <c r="I64" s="8"/>
      <c r="J64" s="8"/>
      <c r="K64" s="8"/>
      <c r="L64" s="8"/>
      <c r="M64" s="8"/>
      <c r="N64" s="8"/>
      <c r="O64" s="8"/>
      <c r="P64" s="8"/>
    </row>
    <row r="65" spans="1:16">
      <c r="A65" s="8"/>
      <c r="B65" s="8"/>
      <c r="C65" s="8"/>
      <c r="D65" s="8"/>
      <c r="E65" s="8"/>
      <c r="F65" s="8"/>
      <c r="G65" s="8"/>
      <c r="H65" s="8"/>
      <c r="I65" s="8"/>
      <c r="J65" s="8"/>
      <c r="K65" s="8"/>
      <c r="L65" s="8"/>
      <c r="M65" s="8"/>
      <c r="N65" s="8"/>
      <c r="O65" s="8"/>
      <c r="P65" s="8"/>
    </row>
    <row r="66" spans="1:16">
      <c r="A66" s="8"/>
      <c r="B66" s="8"/>
      <c r="C66" s="8"/>
      <c r="D66" s="8"/>
      <c r="E66" s="8"/>
      <c r="F66" s="8"/>
      <c r="G66" s="8"/>
      <c r="H66" s="8"/>
      <c r="I66" s="8"/>
      <c r="J66" s="8"/>
      <c r="K66" s="8"/>
      <c r="L66" s="8"/>
      <c r="M66" s="8"/>
      <c r="N66" s="8"/>
      <c r="O66" s="8"/>
      <c r="P66" s="8"/>
    </row>
    <row r="67" spans="1:16">
      <c r="A67" s="8"/>
      <c r="B67" s="8"/>
      <c r="C67" s="8"/>
      <c r="D67" s="8"/>
      <c r="E67" s="8"/>
      <c r="F67" s="8"/>
      <c r="G67" s="8"/>
      <c r="H67" s="8"/>
      <c r="I67" s="8"/>
      <c r="J67" s="8"/>
      <c r="K67" s="8"/>
      <c r="L67" s="8"/>
      <c r="M67" s="8"/>
      <c r="N67" s="8"/>
      <c r="O67" s="8"/>
      <c r="P67" s="8"/>
    </row>
    <row r="68" spans="1:16">
      <c r="A68" s="8"/>
      <c r="B68" s="8"/>
      <c r="C68" s="8"/>
      <c r="D68" s="8"/>
      <c r="E68" s="8"/>
      <c r="F68" s="8"/>
      <c r="G68" s="8"/>
      <c r="H68" s="8"/>
      <c r="I68" s="8"/>
      <c r="J68" s="8"/>
      <c r="K68" s="8"/>
      <c r="L68" s="8"/>
      <c r="M68" s="8"/>
      <c r="N68" s="8"/>
      <c r="O68" s="8"/>
      <c r="P68" s="8"/>
    </row>
    <row r="69" spans="1:16">
      <c r="A69" s="8"/>
      <c r="B69" s="8"/>
      <c r="C69" s="8"/>
      <c r="D69" s="8"/>
      <c r="E69" s="8"/>
      <c r="F69" s="8"/>
      <c r="G69" s="8"/>
      <c r="H69" s="8"/>
      <c r="I69" s="8"/>
      <c r="J69" s="8"/>
      <c r="K69" s="8"/>
      <c r="L69" s="8"/>
      <c r="M69" s="8"/>
      <c r="N69" s="8"/>
      <c r="O69" s="8"/>
      <c r="P69" s="8"/>
    </row>
    <row r="70" spans="1:16">
      <c r="A70" s="8"/>
      <c r="B70" s="8"/>
      <c r="C70" s="8"/>
      <c r="D70" s="8"/>
      <c r="E70" s="8"/>
      <c r="F70" s="8"/>
      <c r="G70" s="8"/>
      <c r="H70" s="8"/>
      <c r="I70" s="8"/>
      <c r="J70" s="8"/>
      <c r="K70" s="8"/>
      <c r="L70" s="8"/>
      <c r="M70" s="8"/>
      <c r="N70" s="8"/>
      <c r="O70" s="8"/>
      <c r="P70" s="8"/>
    </row>
    <row r="71" spans="1:16">
      <c r="A71" s="8"/>
      <c r="B71" s="8"/>
      <c r="C71" s="8"/>
      <c r="D71" s="8"/>
      <c r="E71" s="8"/>
      <c r="F71" s="8"/>
      <c r="G71" s="8"/>
      <c r="H71" s="8"/>
      <c r="I71" s="8"/>
      <c r="J71" s="8"/>
      <c r="K71" s="8"/>
      <c r="L71" s="8"/>
      <c r="M71" s="8"/>
      <c r="N71" s="8"/>
      <c r="O71" s="8"/>
      <c r="P71" s="8"/>
    </row>
    <row r="72" spans="1:16">
      <c r="A72" s="8"/>
      <c r="B72" s="8"/>
      <c r="C72" s="8"/>
      <c r="D72" s="8"/>
      <c r="E72" s="8"/>
      <c r="F72" s="8"/>
      <c r="G72" s="8"/>
      <c r="H72" s="8"/>
      <c r="I72" s="8"/>
      <c r="J72" s="8"/>
      <c r="K72" s="8"/>
      <c r="L72" s="8"/>
      <c r="M72" s="8"/>
      <c r="N72" s="8"/>
      <c r="O72" s="8"/>
      <c r="P72" s="8"/>
    </row>
    <row r="73" spans="1:16">
      <c r="A73" s="8"/>
      <c r="B73" s="8"/>
      <c r="C73" s="8"/>
      <c r="D73" s="8"/>
      <c r="E73" s="8"/>
      <c r="F73" s="8"/>
      <c r="G73" s="8"/>
      <c r="H73" s="8"/>
      <c r="I73" s="8"/>
      <c r="J73" s="8"/>
      <c r="K73" s="8"/>
      <c r="L73" s="8"/>
      <c r="M73" s="8"/>
      <c r="N73" s="8"/>
      <c r="O73" s="8"/>
      <c r="P73" s="8"/>
    </row>
    <row r="74" spans="1:16">
      <c r="A74" s="8"/>
      <c r="B74" s="8"/>
      <c r="C74" s="8"/>
      <c r="D74" s="8"/>
      <c r="E74" s="8"/>
      <c r="F74" s="8"/>
      <c r="G74" s="8"/>
      <c r="H74" s="8"/>
      <c r="I74" s="8"/>
      <c r="J74" s="8"/>
      <c r="K74" s="8"/>
      <c r="L74" s="8"/>
      <c r="M74" s="8"/>
      <c r="N74" s="8"/>
      <c r="O74" s="8"/>
      <c r="P74" s="8"/>
    </row>
    <row r="75" spans="1:16">
      <c r="A75" s="8"/>
      <c r="B75" s="8"/>
      <c r="C75" s="8"/>
      <c r="D75" s="8"/>
      <c r="E75" s="8"/>
      <c r="F75" s="8"/>
      <c r="G75" s="8"/>
      <c r="H75" s="8"/>
      <c r="I75" s="8"/>
      <c r="J75" s="8"/>
      <c r="K75" s="8"/>
      <c r="L75" s="8"/>
      <c r="M75" s="8"/>
      <c r="N75" s="8"/>
      <c r="O75" s="8"/>
      <c r="P75" s="8"/>
    </row>
    <row r="76" spans="1:16">
      <c r="A76" s="8"/>
      <c r="B76" s="8"/>
      <c r="C76" s="8"/>
      <c r="D76" s="8"/>
      <c r="E76" s="8"/>
      <c r="F76" s="8"/>
      <c r="G76" s="8"/>
      <c r="H76" s="8"/>
      <c r="I76" s="8"/>
      <c r="J76" s="8"/>
      <c r="K76" s="8"/>
      <c r="L76" s="8"/>
      <c r="M76" s="8"/>
      <c r="N76" s="8"/>
      <c r="O76" s="8"/>
      <c r="P76" s="8"/>
    </row>
    <row r="77" spans="1:16">
      <c r="A77" s="8"/>
      <c r="B77" s="8"/>
      <c r="C77" s="8"/>
      <c r="D77" s="8"/>
      <c r="E77" s="8"/>
      <c r="F77" s="8"/>
      <c r="G77" s="8"/>
      <c r="H77" s="8"/>
      <c r="I77" s="8"/>
      <c r="J77" s="8"/>
      <c r="K77" s="8"/>
      <c r="L77" s="8"/>
      <c r="M77" s="8"/>
      <c r="N77" s="8"/>
      <c r="O77" s="8"/>
      <c r="P77" s="8"/>
    </row>
    <row r="78" spans="1:16">
      <c r="A78" s="8"/>
      <c r="B78" s="8"/>
      <c r="C78" s="8"/>
      <c r="D78" s="8"/>
      <c r="E78" s="8"/>
      <c r="F78" s="8"/>
      <c r="G78" s="8"/>
      <c r="H78" s="8"/>
      <c r="I78" s="8"/>
      <c r="J78" s="8"/>
      <c r="K78" s="8"/>
      <c r="L78" s="8"/>
      <c r="M78" s="8"/>
      <c r="N78" s="8"/>
      <c r="O78" s="8"/>
      <c r="P78" s="8"/>
    </row>
    <row r="79" spans="1:16">
      <c r="A79" s="8"/>
      <c r="B79" s="8"/>
      <c r="C79" s="8"/>
      <c r="D79" s="8"/>
      <c r="E79" s="8"/>
      <c r="F79" s="8"/>
      <c r="G79" s="8"/>
      <c r="H79" s="8"/>
      <c r="I79" s="8"/>
      <c r="J79" s="8"/>
      <c r="K79" s="8"/>
      <c r="L79" s="8"/>
      <c r="M79" s="8"/>
      <c r="N79" s="8"/>
      <c r="O79" s="8"/>
      <c r="P79" s="8"/>
    </row>
    <row r="80" spans="1:16">
      <c r="A80" s="8"/>
      <c r="B80" s="8"/>
      <c r="C80" s="8"/>
      <c r="D80" s="8"/>
      <c r="E80" s="8"/>
      <c r="F80" s="8"/>
      <c r="G80" s="8"/>
      <c r="H80" s="8"/>
      <c r="I80" s="8"/>
      <c r="J80" s="8"/>
      <c r="K80" s="8"/>
      <c r="L80" s="8"/>
      <c r="M80" s="8"/>
      <c r="N80" s="8"/>
      <c r="O80" s="8"/>
      <c r="P80" s="8"/>
    </row>
  </sheetData>
  <sheetProtection algorithmName="SHA-512" hashValue="QrI9RFK/GtIPIOtQ7BZjR+QNgwC4fccuuoye/gJ680EIVoqYczlAk7Q9LzDK7RADwApo/PdhMKQoWAiwZnkD/g==" saltValue="/eZ0toYkN1yK1CGUlh3lmg=="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34998626667073579"/>
  </sheetPr>
  <dimension ref="A1:I39"/>
  <sheetViews>
    <sheetView workbookViewId="0">
      <selection activeCell="B65" sqref="B65"/>
    </sheetView>
  </sheetViews>
  <sheetFormatPr defaultRowHeight="15"/>
  <cols>
    <col min="1" max="1" width="27.85546875" customWidth="1"/>
    <col min="2" max="2" width="13.5703125" customWidth="1"/>
    <col min="3" max="3" width="11.5703125" bestFit="1" customWidth="1"/>
    <col min="4" max="9" width="14.42578125" bestFit="1" customWidth="1"/>
  </cols>
  <sheetData>
    <row r="1" spans="1:9" ht="15.75">
      <c r="A1" s="26" t="s">
        <v>1041</v>
      </c>
      <c r="I1" s="639" t="s">
        <v>2</v>
      </c>
    </row>
    <row r="2" spans="1:9" ht="15.75">
      <c r="A2" s="199" t="str">
        <f>SchoolName</f>
        <v>Strong Start Academy Elementary School</v>
      </c>
    </row>
    <row r="3" spans="1:9">
      <c r="A3" s="581" t="s">
        <v>1</v>
      </c>
    </row>
    <row r="4" spans="1:9">
      <c r="A4" s="582" t="str">
        <f ca="1">CELL("filename")</f>
        <v>C:\Users\rsaucedo\OneDrive - City of Las Vegas\CLV Charter School\[Strong Start Academy Elementary School Financial Workbook 2021.xlsx]Incubation</v>
      </c>
    </row>
    <row r="5" spans="1:9">
      <c r="A5" s="80"/>
      <c r="B5" s="80"/>
      <c r="C5" s="804"/>
      <c r="D5" s="145"/>
      <c r="E5" s="150"/>
      <c r="F5" s="150"/>
      <c r="G5" s="150"/>
      <c r="H5" s="150"/>
      <c r="I5" s="150"/>
    </row>
    <row r="6" spans="1:9">
      <c r="A6" s="42"/>
      <c r="B6" s="42"/>
      <c r="C6" s="1101" t="str">
        <f>' Enrol &amp; Rev'!G9</f>
        <v>SY 0/Incu</v>
      </c>
      <c r="D6" s="1192">
        <f>' Enrol &amp; Rev'!H9</f>
        <v>1</v>
      </c>
      <c r="E6" s="1192">
        <f>' Enrol &amp; Rev'!I9</f>
        <v>2</v>
      </c>
      <c r="F6" s="1192">
        <f>' Enrol &amp; Rev'!J9</f>
        <v>3</v>
      </c>
      <c r="G6" s="1192">
        <f>' Enrol &amp; Rev'!K9</f>
        <v>4</v>
      </c>
      <c r="H6" s="1192">
        <f>' Enrol &amp; Rev'!L9</f>
        <v>5</v>
      </c>
      <c r="I6" s="1193">
        <f>' Enrol &amp; Rev'!M9</f>
        <v>6</v>
      </c>
    </row>
    <row r="7" spans="1:9" ht="15.75">
      <c r="A7" s="42"/>
      <c r="B7" s="42"/>
      <c r="C7" s="1194">
        <f>' Enrol &amp; Rev'!G10</f>
        <v>2021</v>
      </c>
      <c r="D7" s="1179">
        <f>' Enrol &amp; Rev'!H10</f>
        <v>2022</v>
      </c>
      <c r="E7" s="1180">
        <f>' Enrol &amp; Rev'!I10</f>
        <v>2023</v>
      </c>
      <c r="F7" s="1180">
        <f>' Enrol &amp; Rev'!J10</f>
        <v>2024</v>
      </c>
      <c r="G7" s="1180">
        <f>' Enrol &amp; Rev'!K10</f>
        <v>2025</v>
      </c>
      <c r="H7" s="1180">
        <f>' Enrol &amp; Rev'!L10</f>
        <v>2026</v>
      </c>
      <c r="I7" s="1181">
        <f>' Enrol &amp; Rev'!M10</f>
        <v>2027</v>
      </c>
    </row>
    <row r="8" spans="1:9" ht="15.75">
      <c r="A8" s="1858"/>
      <c r="B8" s="1859" t="s">
        <v>250</v>
      </c>
      <c r="C8" s="1195">
        <f>' Enrol &amp; Rev'!G11</f>
        <v>2022</v>
      </c>
      <c r="D8" s="1182">
        <f>' Enrol &amp; Rev'!H11</f>
        <v>2023</v>
      </c>
      <c r="E8" s="1183">
        <f>' Enrol &amp; Rev'!I11</f>
        <v>2024</v>
      </c>
      <c r="F8" s="1183">
        <f>' Enrol &amp; Rev'!J11</f>
        <v>2025</v>
      </c>
      <c r="G8" s="1183">
        <f>' Enrol &amp; Rev'!K11</f>
        <v>2026</v>
      </c>
      <c r="H8" s="1183">
        <f>' Enrol &amp; Rev'!L11</f>
        <v>2027</v>
      </c>
      <c r="I8" s="1184">
        <f>' Enrol &amp; Rev'!M11</f>
        <v>2028</v>
      </c>
    </row>
    <row r="9" spans="1:9">
      <c r="A9" t="s">
        <v>774</v>
      </c>
      <c r="B9" s="725">
        <f>SUM(C9:I9)</f>
        <v>1800</v>
      </c>
      <c r="C9" s="725" t="s">
        <v>1042</v>
      </c>
      <c r="D9" s="725">
        <f>' Enrol &amp; Rev'!H34</f>
        <v>180</v>
      </c>
      <c r="E9" s="725">
        <f>' Enrol &amp; Rev'!I34</f>
        <v>240</v>
      </c>
      <c r="F9" s="725">
        <f>' Enrol &amp; Rev'!J34</f>
        <v>300</v>
      </c>
      <c r="G9" s="725">
        <f>' Enrol &amp; Rev'!K34</f>
        <v>360</v>
      </c>
      <c r="H9" s="725">
        <f>' Enrol &amp; Rev'!L34</f>
        <v>360</v>
      </c>
      <c r="I9" s="725">
        <f>' Enrol &amp; Rev'!M34</f>
        <v>360</v>
      </c>
    </row>
    <row r="10" spans="1:9">
      <c r="A10" t="s">
        <v>421</v>
      </c>
      <c r="B10" s="765">
        <f>SUM(C10:I10)</f>
        <v>19744109.325277608</v>
      </c>
      <c r="C10" s="765">
        <f>' Enrol &amp; Rev'!G109</f>
        <v>500000</v>
      </c>
      <c r="D10" s="765">
        <f>' Enrol &amp; Rev'!H109</f>
        <v>2248562.8718250003</v>
      </c>
      <c r="E10" s="765">
        <f>' Enrol &amp; Rev'!I109</f>
        <v>2518203.4592864197</v>
      </c>
      <c r="F10" s="765">
        <f>' Enrol &amp; Rev'!J109</f>
        <v>3122001.864325976</v>
      </c>
      <c r="G10" s="765">
        <f>' Enrol &amp; Rev'!K109</f>
        <v>3726926.2693655328</v>
      </c>
      <c r="H10" s="765">
        <f>' Enrol &amp; Rev'!L109</f>
        <v>3810720.4302373398</v>
      </c>
      <c r="I10" s="765">
        <f>' Enrol &amp; Rev'!M109</f>
        <v>3817694.4302373398</v>
      </c>
    </row>
    <row r="11" spans="1:9">
      <c r="A11" t="s">
        <v>775</v>
      </c>
      <c r="B11" s="766">
        <f>IFERROR(B10/B9,0)</f>
        <v>10968.949625154226</v>
      </c>
      <c r="C11" s="766"/>
      <c r="D11" s="766">
        <f>IFERROR(D10/D9,0)</f>
        <v>12492.015954583334</v>
      </c>
      <c r="E11" s="766">
        <f t="shared" ref="E11:I11" si="0">IFERROR(E10/E9,0)</f>
        <v>10492.514413693416</v>
      </c>
      <c r="F11" s="766">
        <f t="shared" si="0"/>
        <v>10406.672881086586</v>
      </c>
      <c r="G11" s="766">
        <f t="shared" si="0"/>
        <v>10352.572970459812</v>
      </c>
      <c r="H11" s="766">
        <f t="shared" si="0"/>
        <v>10585.334528437055</v>
      </c>
      <c r="I11" s="766">
        <f t="shared" si="0"/>
        <v>10604.706750659278</v>
      </c>
    </row>
    <row r="12" spans="1:9">
      <c r="A12" t="s">
        <v>1043</v>
      </c>
      <c r="B12" s="766">
        <f>SUM(C12:I12)</f>
        <v>11583633.345518358</v>
      </c>
      <c r="C12" s="765">
        <f>Staff!G37</f>
        <v>0</v>
      </c>
      <c r="D12" s="765">
        <f>Staff!H37</f>
        <v>1274860.1599999999</v>
      </c>
      <c r="E12" s="765">
        <f>Staff!I37</f>
        <v>1539750.496</v>
      </c>
      <c r="F12" s="765">
        <f>Staff!J37</f>
        <v>1990103.3996000001</v>
      </c>
      <c r="G12" s="765">
        <f>Staff!K37</f>
        <v>2255854.3069887999</v>
      </c>
      <c r="H12" s="765">
        <f>Staff!L37</f>
        <v>2257382.7461586879</v>
      </c>
      <c r="I12" s="765">
        <f>Staff!M37</f>
        <v>2265682.2367708711</v>
      </c>
    </row>
    <row r="13" spans="1:9">
      <c r="A13" t="s">
        <v>1044</v>
      </c>
      <c r="B13" s="766">
        <f>IFERROR(B12/B9,0)</f>
        <v>6435.3518586213104</v>
      </c>
      <c r="C13" s="766"/>
      <c r="D13" s="766">
        <f>IFERROR(D12/D9,0)</f>
        <v>7082.5564444444444</v>
      </c>
      <c r="E13" s="766">
        <f t="shared" ref="E13:I13" si="1">IFERROR(E12/E9,0)</f>
        <v>6415.6270666666669</v>
      </c>
      <c r="F13" s="766">
        <f t="shared" si="1"/>
        <v>6633.677998666667</v>
      </c>
      <c r="G13" s="766">
        <f t="shared" si="1"/>
        <v>6266.261963857778</v>
      </c>
      <c r="H13" s="766">
        <f t="shared" si="1"/>
        <v>6270.5076282185773</v>
      </c>
      <c r="I13" s="766">
        <f t="shared" si="1"/>
        <v>6293.5617688079756</v>
      </c>
    </row>
    <row r="14" spans="1:9">
      <c r="A14" t="s">
        <v>429</v>
      </c>
      <c r="B14" s="766">
        <f>B10-B12</f>
        <v>8160475.9797592498</v>
      </c>
      <c r="C14" s="766">
        <f t="shared" ref="C14:I14" si="2">C10-C12</f>
        <v>500000</v>
      </c>
      <c r="D14" s="766">
        <f t="shared" si="2"/>
        <v>973702.71182500036</v>
      </c>
      <c r="E14" s="766">
        <f t="shared" si="2"/>
        <v>978452.96328641963</v>
      </c>
      <c r="F14" s="766">
        <f t="shared" si="2"/>
        <v>1131898.4647259759</v>
      </c>
      <c r="G14" s="766">
        <f t="shared" si="2"/>
        <v>1471071.9623767328</v>
      </c>
      <c r="H14" s="766">
        <f t="shared" si="2"/>
        <v>1553337.6840786519</v>
      </c>
      <c r="I14" s="766">
        <f t="shared" si="2"/>
        <v>1552012.1934664687</v>
      </c>
    </row>
    <row r="15" spans="1:9" ht="30" customHeight="1">
      <c r="A15" s="572" t="s">
        <v>1045</v>
      </c>
      <c r="B15" s="766">
        <f>IFERROR(B14/B9,0)</f>
        <v>4533.5977665329165</v>
      </c>
      <c r="C15" s="766"/>
      <c r="D15" s="766">
        <f>IFERROR(D14/D9,0)</f>
        <v>5409.4595101388904</v>
      </c>
      <c r="E15" s="766">
        <f t="shared" ref="E15:I15" si="3">IFERROR(E14/E9,0)</f>
        <v>4076.8873470267486</v>
      </c>
      <c r="F15" s="766">
        <f t="shared" si="3"/>
        <v>3772.9948824199196</v>
      </c>
      <c r="G15" s="766">
        <f t="shared" si="3"/>
        <v>4086.3110066020358</v>
      </c>
      <c r="H15" s="766">
        <f t="shared" si="3"/>
        <v>4314.8269002184779</v>
      </c>
      <c r="I15" s="766">
        <f t="shared" si="3"/>
        <v>4311.144981851302</v>
      </c>
    </row>
    <row r="16" spans="1:9">
      <c r="A16" t="s">
        <v>1046</v>
      </c>
      <c r="B16" s="766">
        <f>SUM(C16:I16)</f>
        <v>2648673.6903350758</v>
      </c>
      <c r="C16" s="765">
        <f>'Gen Optg'!F163</f>
        <v>0</v>
      </c>
      <c r="D16" s="765">
        <f>'Gen Optg'!G163</f>
        <v>319978.77</v>
      </c>
      <c r="E16" s="765">
        <f>'Gen Optg'!H163</f>
        <v>407353.77299999999</v>
      </c>
      <c r="F16" s="765">
        <f>'Gen Optg'!I163</f>
        <v>514760.74243300001</v>
      </c>
      <c r="G16" s="765">
        <f>'Gen Optg'!J163</f>
        <v>450240.10303632496</v>
      </c>
      <c r="H16" s="765">
        <f>'Gen Optg'!K163</f>
        <v>474452.82543950103</v>
      </c>
      <c r="I16" s="765">
        <f>'Gen Optg'!L163</f>
        <v>481887.47642624995</v>
      </c>
    </row>
    <row r="17" spans="1:9">
      <c r="A17" t="s">
        <v>1047</v>
      </c>
      <c r="B17" s="766">
        <f>IFERROR(B16/B9,0)</f>
        <v>1471.4853835194865</v>
      </c>
      <c r="C17" s="766"/>
      <c r="D17" s="766">
        <f>IFERROR(D16/D9,0)</f>
        <v>1777.6598333333334</v>
      </c>
      <c r="E17" s="766">
        <f t="shared" ref="E17:I17" si="4">IFERROR(E16/E9,0)</f>
        <v>1697.3073875</v>
      </c>
      <c r="F17" s="766">
        <f t="shared" si="4"/>
        <v>1715.8691414433333</v>
      </c>
      <c r="G17" s="766">
        <f t="shared" si="4"/>
        <v>1250.6669528786804</v>
      </c>
      <c r="H17" s="766">
        <f t="shared" si="4"/>
        <v>1317.924515109725</v>
      </c>
      <c r="I17" s="766">
        <f t="shared" si="4"/>
        <v>1338.5763234062499</v>
      </c>
    </row>
    <row r="18" spans="1:9">
      <c r="A18" t="s">
        <v>557</v>
      </c>
      <c r="B18" s="766">
        <f>B10-B16</f>
        <v>17095435.634942532</v>
      </c>
      <c r="C18" s="766">
        <f t="shared" ref="C18:I18" si="5">C10-C16</f>
        <v>500000</v>
      </c>
      <c r="D18" s="766">
        <f t="shared" si="5"/>
        <v>1928584.1018250003</v>
      </c>
      <c r="E18" s="766">
        <f t="shared" si="5"/>
        <v>2110849.6862864196</v>
      </c>
      <c r="F18" s="766">
        <f t="shared" si="5"/>
        <v>2607241.1218929761</v>
      </c>
      <c r="G18" s="766">
        <f t="shared" si="5"/>
        <v>3276686.1663292078</v>
      </c>
      <c r="H18" s="766">
        <f t="shared" si="5"/>
        <v>3336267.6047978387</v>
      </c>
      <c r="I18" s="766">
        <f t="shared" si="5"/>
        <v>3335806.95381109</v>
      </c>
    </row>
    <row r="19" spans="1:9" ht="31.5" customHeight="1">
      <c r="A19" s="2" t="s">
        <v>558</v>
      </c>
      <c r="B19" s="766">
        <f>IFERROR(B18/B9,0)</f>
        <v>9497.4642416347397</v>
      </c>
      <c r="C19" s="766"/>
      <c r="D19" s="766">
        <f>IFERROR(D18/D9,0)</f>
        <v>10714.356121250001</v>
      </c>
      <c r="E19" s="766">
        <f t="shared" ref="E19:I19" si="6">IFERROR(E18/E9,0)</f>
        <v>8795.207026193415</v>
      </c>
      <c r="F19" s="766">
        <f t="shared" si="6"/>
        <v>8690.8037396432537</v>
      </c>
      <c r="G19" s="766">
        <f t="shared" si="6"/>
        <v>9101.9060175811337</v>
      </c>
      <c r="H19" s="766">
        <f t="shared" si="6"/>
        <v>9267.4100133273296</v>
      </c>
      <c r="I19" s="766">
        <f t="shared" si="6"/>
        <v>9266.1304272530269</v>
      </c>
    </row>
    <row r="20" spans="1:9">
      <c r="A20" t="s">
        <v>1048</v>
      </c>
      <c r="B20" s="766">
        <f>SUM(C20:I20)</f>
        <v>1749364.7947754145</v>
      </c>
      <c r="C20" s="765">
        <f>Facilities!F70</f>
        <v>0</v>
      </c>
      <c r="D20" s="765">
        <f>Facilities!G70</f>
        <v>232331.30000000002</v>
      </c>
      <c r="E20" s="765">
        <f>Facilities!H70</f>
        <v>259325.27600000001</v>
      </c>
      <c r="F20" s="765">
        <f>Facilities!I70</f>
        <v>287398.72928000003</v>
      </c>
      <c r="G20" s="765">
        <f>Facilities!J70</f>
        <v>316598.0603984</v>
      </c>
      <c r="H20" s="765">
        <f>Facilities!K70</f>
        <v>323368.789210352</v>
      </c>
      <c r="I20" s="765">
        <f>Facilities!L70</f>
        <v>330342.6398866626</v>
      </c>
    </row>
    <row r="21" spans="1:9">
      <c r="A21" t="s">
        <v>1049</v>
      </c>
      <c r="B21" s="766">
        <f>IFERROR(B20/B9,0)</f>
        <v>971.86933043078579</v>
      </c>
      <c r="C21" s="766"/>
      <c r="D21" s="766">
        <f t="shared" ref="D21:I21" si="7">IFERROR(D20/D9,0)</f>
        <v>1290.7294444444447</v>
      </c>
      <c r="E21" s="766">
        <f t="shared" si="7"/>
        <v>1080.5219833333333</v>
      </c>
      <c r="F21" s="766">
        <f t="shared" si="7"/>
        <v>957.99576426666681</v>
      </c>
      <c r="G21" s="766">
        <f t="shared" si="7"/>
        <v>879.43905666222224</v>
      </c>
      <c r="H21" s="766">
        <f t="shared" si="7"/>
        <v>898.24663669542224</v>
      </c>
      <c r="I21" s="766">
        <f t="shared" si="7"/>
        <v>917.6184441296183</v>
      </c>
    </row>
    <row r="22" spans="1:9">
      <c r="A22" t="s">
        <v>1050</v>
      </c>
      <c r="B22" s="766">
        <f>B10-B20</f>
        <v>17994744.530502193</v>
      </c>
      <c r="C22" s="766">
        <f t="shared" ref="C22:I22" si="8">C10-C20</f>
        <v>500000</v>
      </c>
      <c r="D22" s="766">
        <f t="shared" si="8"/>
        <v>2016231.5718250002</v>
      </c>
      <c r="E22" s="766">
        <f t="shared" si="8"/>
        <v>2258878.1832864196</v>
      </c>
      <c r="F22" s="766">
        <f t="shared" si="8"/>
        <v>2834603.1350459759</v>
      </c>
      <c r="G22" s="766">
        <f t="shared" si="8"/>
        <v>3410328.208967133</v>
      </c>
      <c r="H22" s="766">
        <f t="shared" si="8"/>
        <v>3487351.6410269877</v>
      </c>
      <c r="I22" s="766">
        <f t="shared" si="8"/>
        <v>3487351.7903506774</v>
      </c>
    </row>
    <row r="23" spans="1:9" ht="30.75" customHeight="1">
      <c r="A23" s="2" t="s">
        <v>1051</v>
      </c>
      <c r="B23" s="766">
        <f>IFERROR(B22/B9,0)</f>
        <v>9997.0802947234406</v>
      </c>
      <c r="C23" s="766"/>
      <c r="D23" s="766">
        <f t="shared" ref="D23:I23" si="9">IFERROR(D22/D9,0)</f>
        <v>11201.286510138891</v>
      </c>
      <c r="E23" s="766">
        <f t="shared" si="9"/>
        <v>9411.9924303600819</v>
      </c>
      <c r="F23" s="766">
        <f t="shared" si="9"/>
        <v>9448.6771168199193</v>
      </c>
      <c r="G23" s="766">
        <f t="shared" si="9"/>
        <v>9473.133913797592</v>
      </c>
      <c r="H23" s="766">
        <f t="shared" si="9"/>
        <v>9687.0878917416321</v>
      </c>
      <c r="I23" s="766">
        <f t="shared" si="9"/>
        <v>9687.0883065296603</v>
      </c>
    </row>
    <row r="24" spans="1:9">
      <c r="A24" t="s">
        <v>776</v>
      </c>
      <c r="B24" s="766">
        <f>SUM(C24:I24)</f>
        <v>869297</v>
      </c>
      <c r="C24" s="765">
        <f>'FFE&amp;T'!F38</f>
        <v>0</v>
      </c>
      <c r="D24" s="765">
        <f>'FFE&amp;T'!G38</f>
        <v>230980</v>
      </c>
      <c r="E24" s="765">
        <f>'FFE&amp;T'!H38</f>
        <v>128482</v>
      </c>
      <c r="F24" s="765">
        <f>'FFE&amp;T'!I38</f>
        <v>144112</v>
      </c>
      <c r="G24" s="765">
        <f>'FFE&amp;T'!J38</f>
        <v>162997</v>
      </c>
      <c r="H24" s="765">
        <f>'FFE&amp;T'!K38</f>
        <v>100668</v>
      </c>
      <c r="I24" s="765">
        <f>'FFE&amp;T'!L38</f>
        <v>102058</v>
      </c>
    </row>
    <row r="25" spans="1:9">
      <c r="A25" t="s">
        <v>777</v>
      </c>
      <c r="B25" s="766">
        <f>IFERROR(B24/B9,0)</f>
        <v>482.94277777777779</v>
      </c>
      <c r="C25" s="766"/>
      <c r="D25" s="766">
        <f t="shared" ref="D25:I25" si="10">IFERROR(D24/D9,0)</f>
        <v>1283.2222222222222</v>
      </c>
      <c r="E25" s="766">
        <f t="shared" si="10"/>
        <v>535.3416666666667</v>
      </c>
      <c r="F25" s="766">
        <f t="shared" si="10"/>
        <v>480.37333333333333</v>
      </c>
      <c r="G25" s="766">
        <f t="shared" si="10"/>
        <v>452.76944444444445</v>
      </c>
      <c r="H25" s="766">
        <f t="shared" si="10"/>
        <v>279.63333333333333</v>
      </c>
      <c r="I25" s="766">
        <f t="shared" si="10"/>
        <v>283.49444444444447</v>
      </c>
    </row>
    <row r="26" spans="1:9">
      <c r="A26" t="s">
        <v>778</v>
      </c>
      <c r="B26" s="766">
        <f>B10-B24</f>
        <v>18874812.325277608</v>
      </c>
      <c r="C26" s="766">
        <f t="shared" ref="C26:I26" si="11">C10-C24</f>
        <v>500000</v>
      </c>
      <c r="D26" s="766">
        <f t="shared" si="11"/>
        <v>2017582.8718250003</v>
      </c>
      <c r="E26" s="766">
        <f t="shared" si="11"/>
        <v>2389721.4592864197</v>
      </c>
      <c r="F26" s="766">
        <f t="shared" si="11"/>
        <v>2977889.864325976</v>
      </c>
      <c r="G26" s="766">
        <f t="shared" si="11"/>
        <v>3563929.2693655328</v>
      </c>
      <c r="H26" s="766">
        <f t="shared" si="11"/>
        <v>3710052.4302373398</v>
      </c>
      <c r="I26" s="766">
        <f t="shared" si="11"/>
        <v>3715636.4302373398</v>
      </c>
    </row>
    <row r="27" spans="1:9" ht="30.75" customHeight="1">
      <c r="A27" s="2" t="s">
        <v>779</v>
      </c>
      <c r="B27" s="766">
        <f>IFERROR(B26/B9,0)</f>
        <v>10486.00684737645</v>
      </c>
      <c r="C27" s="766"/>
      <c r="D27" s="766">
        <f t="shared" ref="D27:I27" si="12">IFERROR(D26/D9,0)</f>
        <v>11208.793732361113</v>
      </c>
      <c r="E27" s="766">
        <f t="shared" si="12"/>
        <v>9957.1727470267488</v>
      </c>
      <c r="F27" s="766">
        <f t="shared" si="12"/>
        <v>9926.2995477532531</v>
      </c>
      <c r="G27" s="766">
        <f t="shared" si="12"/>
        <v>9899.8035260153683</v>
      </c>
      <c r="H27" s="766">
        <f t="shared" si="12"/>
        <v>10305.701195103722</v>
      </c>
      <c r="I27" s="766">
        <f t="shared" si="12"/>
        <v>10321.212306214833</v>
      </c>
    </row>
    <row r="28" spans="1:9">
      <c r="A28" t="s">
        <v>1052</v>
      </c>
      <c r="B28" s="766">
        <f>SUM(C28:I28)</f>
        <v>0</v>
      </c>
      <c r="C28" s="765">
        <f>'Gen Optg'!F144</f>
        <v>0</v>
      </c>
      <c r="D28" s="765">
        <f>'Gen Optg'!G144</f>
        <v>0</v>
      </c>
      <c r="E28" s="765">
        <f>'Gen Optg'!H144</f>
        <v>0</v>
      </c>
      <c r="F28" s="765">
        <f>'Gen Optg'!I144</f>
        <v>0</v>
      </c>
      <c r="G28" s="765">
        <f>'Gen Optg'!J144</f>
        <v>0</v>
      </c>
      <c r="H28" s="765">
        <f>'Gen Optg'!K144</f>
        <v>0</v>
      </c>
      <c r="I28" s="765">
        <f>'Gen Optg'!L144</f>
        <v>0</v>
      </c>
    </row>
    <row r="29" spans="1:9">
      <c r="A29" t="s">
        <v>1053</v>
      </c>
      <c r="B29" s="766">
        <f>IFERROR(B28/B9,0)</f>
        <v>0</v>
      </c>
      <c r="C29" s="766"/>
      <c r="D29" s="766">
        <f t="shared" ref="D29:I29" si="13">IFERROR(D28/D9,0)</f>
        <v>0</v>
      </c>
      <c r="E29" s="766">
        <f t="shared" si="13"/>
        <v>0</v>
      </c>
      <c r="F29" s="766">
        <f t="shared" si="13"/>
        <v>0</v>
      </c>
      <c r="G29" s="766">
        <f t="shared" si="13"/>
        <v>0</v>
      </c>
      <c r="H29" s="766">
        <f t="shared" si="13"/>
        <v>0</v>
      </c>
      <c r="I29" s="766">
        <f t="shared" si="13"/>
        <v>0</v>
      </c>
    </row>
    <row r="30" spans="1:9">
      <c r="A30" t="s">
        <v>1054</v>
      </c>
      <c r="B30" s="766">
        <f>SUM(C30:I30)</f>
        <v>149120.95167198565</v>
      </c>
      <c r="C30" s="765">
        <f>Ins!F50</f>
        <v>0</v>
      </c>
      <c r="D30" s="765">
        <f>Ins!G50</f>
        <v>23639.52</v>
      </c>
      <c r="E30" s="765">
        <f>Ins!H50</f>
        <v>24112.310399999998</v>
      </c>
      <c r="F30" s="765">
        <f>Ins!I50</f>
        <v>24594.556607999999</v>
      </c>
      <c r="G30" s="765">
        <f>Ins!J50</f>
        <v>25086.447740159998</v>
      </c>
      <c r="H30" s="765">
        <f>Ins!K50</f>
        <v>25588.1766949632</v>
      </c>
      <c r="I30" s="765">
        <f>Ins!L50</f>
        <v>26099.940228862466</v>
      </c>
    </row>
    <row r="31" spans="1:9">
      <c r="A31" t="s">
        <v>1055</v>
      </c>
      <c r="B31" s="766">
        <f>IFERROR(B30/B9,0)</f>
        <v>82.844973151103133</v>
      </c>
      <c r="C31" s="766"/>
      <c r="D31" s="766">
        <f t="shared" ref="D31:I31" si="14">IFERROR(D30/D9,0)</f>
        <v>131.33066666666667</v>
      </c>
      <c r="E31" s="766">
        <f t="shared" si="14"/>
        <v>100.46795999999999</v>
      </c>
      <c r="F31" s="766">
        <f t="shared" si="14"/>
        <v>81.981855359999997</v>
      </c>
      <c r="G31" s="766">
        <f t="shared" si="14"/>
        <v>69.684577055999995</v>
      </c>
      <c r="H31" s="766">
        <f t="shared" si="14"/>
        <v>71.078268597120001</v>
      </c>
      <c r="I31" s="766">
        <f t="shared" si="14"/>
        <v>72.499833969062408</v>
      </c>
    </row>
    <row r="32" spans="1:9">
      <c r="A32" t="s">
        <v>1056</v>
      </c>
      <c r="B32" s="766">
        <f>SUM(C32:I32)</f>
        <v>15000</v>
      </c>
      <c r="C32" s="765">
        <f>Marketing!H44</f>
        <v>5000</v>
      </c>
      <c r="D32" s="765">
        <f>Marketing!I44</f>
        <v>2000</v>
      </c>
      <c r="E32" s="765">
        <f>Marketing!J44</f>
        <v>2000</v>
      </c>
      <c r="F32" s="765">
        <f>Marketing!K44</f>
        <v>2000</v>
      </c>
      <c r="G32" s="765">
        <f>Marketing!L44</f>
        <v>2000</v>
      </c>
      <c r="H32" s="765">
        <f>Marketing!M44</f>
        <v>2000</v>
      </c>
      <c r="I32" s="765">
        <f>Marketing!N44</f>
        <v>0</v>
      </c>
    </row>
    <row r="33" spans="1:9">
      <c r="A33" t="s">
        <v>1057</v>
      </c>
      <c r="B33" s="766">
        <f>IFERROR(B32/B9,0)</f>
        <v>8.3333333333333339</v>
      </c>
      <c r="C33" s="766"/>
      <c r="D33" s="766">
        <f t="shared" ref="D33:I33" si="15">IFERROR(D32/D9,0)</f>
        <v>11.111111111111111</v>
      </c>
      <c r="E33" s="766">
        <f t="shared" si="15"/>
        <v>8.3333333333333339</v>
      </c>
      <c r="F33" s="766">
        <f t="shared" si="15"/>
        <v>6.666666666666667</v>
      </c>
      <c r="G33" s="766">
        <f t="shared" si="15"/>
        <v>5.5555555555555554</v>
      </c>
      <c r="H33" s="766">
        <f t="shared" si="15"/>
        <v>5.5555555555555554</v>
      </c>
      <c r="I33" s="766">
        <f t="shared" si="15"/>
        <v>0</v>
      </c>
    </row>
    <row r="34" spans="1:9">
      <c r="A34" t="s">
        <v>1058</v>
      </c>
      <c r="B34" s="766">
        <f>B32+B30+B28</f>
        <v>164120.95167198565</v>
      </c>
      <c r="C34" s="766">
        <f t="shared" ref="C34:I34" si="16">C32+C30+C28</f>
        <v>5000</v>
      </c>
      <c r="D34" s="766">
        <f t="shared" si="16"/>
        <v>25639.52</v>
      </c>
      <c r="E34" s="766">
        <f t="shared" si="16"/>
        <v>26112.310399999998</v>
      </c>
      <c r="F34" s="766">
        <f t="shared" si="16"/>
        <v>26594.556607999999</v>
      </c>
      <c r="G34" s="766">
        <f t="shared" si="16"/>
        <v>27086.447740159998</v>
      </c>
      <c r="H34" s="766">
        <f t="shared" si="16"/>
        <v>27588.1766949632</v>
      </c>
      <c r="I34" s="766">
        <f t="shared" si="16"/>
        <v>26099.940228862466</v>
      </c>
    </row>
    <row r="35" spans="1:9">
      <c r="A35" t="s">
        <v>1059</v>
      </c>
      <c r="B35" s="766">
        <f>IFERROR(B34/B9,0)</f>
        <v>91.178306484436476</v>
      </c>
      <c r="C35" s="766"/>
      <c r="D35" s="766">
        <f t="shared" ref="D35:I35" si="17">IFERROR(D34/D9,0)</f>
        <v>142.44177777777779</v>
      </c>
      <c r="E35" s="766">
        <f t="shared" si="17"/>
        <v>108.80129333333333</v>
      </c>
      <c r="F35" s="766">
        <f t="shared" si="17"/>
        <v>88.648522026666669</v>
      </c>
      <c r="G35" s="766">
        <f t="shared" si="17"/>
        <v>75.240132611555552</v>
      </c>
      <c r="H35" s="766">
        <f t="shared" si="17"/>
        <v>76.633824152675558</v>
      </c>
      <c r="I35" s="766">
        <f t="shared" si="17"/>
        <v>72.499833969062408</v>
      </c>
    </row>
    <row r="36" spans="1:9">
      <c r="A36" t="s">
        <v>1060</v>
      </c>
      <c r="B36" s="766">
        <f>B10-B34</f>
        <v>19579988.373605624</v>
      </c>
      <c r="C36" s="766">
        <f t="shared" ref="C36:I36" si="18">C10-C34</f>
        <v>495000</v>
      </c>
      <c r="D36" s="766">
        <f t="shared" si="18"/>
        <v>2222923.3518250003</v>
      </c>
      <c r="E36" s="766">
        <f t="shared" si="18"/>
        <v>2492091.1488864198</v>
      </c>
      <c r="F36" s="766">
        <f t="shared" si="18"/>
        <v>3095407.3077179762</v>
      </c>
      <c r="G36" s="766">
        <f t="shared" si="18"/>
        <v>3699839.8216253729</v>
      </c>
      <c r="H36" s="766">
        <f t="shared" si="18"/>
        <v>3783132.2535423767</v>
      </c>
      <c r="I36" s="766">
        <f t="shared" si="18"/>
        <v>3791594.4900084771</v>
      </c>
    </row>
    <row r="37" spans="1:9" ht="30" customHeight="1">
      <c r="A37" s="2" t="s">
        <v>1061</v>
      </c>
      <c r="B37" s="766">
        <f>IFERROR(B36/B9,0)</f>
        <v>10877.771318669791</v>
      </c>
      <c r="C37" s="766"/>
      <c r="D37" s="766">
        <f t="shared" ref="D37:I37" si="19">IFERROR(D36/D9,0)</f>
        <v>12349.574176805558</v>
      </c>
      <c r="E37" s="766">
        <f t="shared" si="19"/>
        <v>10383.713120360082</v>
      </c>
      <c r="F37" s="766">
        <f t="shared" si="19"/>
        <v>10318.02435905992</v>
      </c>
      <c r="G37" s="766">
        <f t="shared" si="19"/>
        <v>10277.332837848258</v>
      </c>
      <c r="H37" s="766">
        <f t="shared" si="19"/>
        <v>10508.70070428438</v>
      </c>
      <c r="I37" s="766">
        <f t="shared" si="19"/>
        <v>10532.206916690215</v>
      </c>
    </row>
    <row r="38" spans="1:9">
      <c r="A38" t="s">
        <v>431</v>
      </c>
      <c r="B38" s="766">
        <f t="shared" ref="B38:I38" si="20">B10-B12-B16-B28-B20-B24-B30-B32</f>
        <v>2729019.5429767738</v>
      </c>
      <c r="C38" s="766">
        <f t="shared" si="20"/>
        <v>495000</v>
      </c>
      <c r="D38" s="766">
        <f t="shared" si="20"/>
        <v>164773.1218250003</v>
      </c>
      <c r="E38" s="766">
        <f t="shared" si="20"/>
        <v>157179.60388641959</v>
      </c>
      <c r="F38" s="766">
        <f t="shared" si="20"/>
        <v>159032.43640497583</v>
      </c>
      <c r="G38" s="766">
        <f t="shared" si="20"/>
        <v>514150.35120184784</v>
      </c>
      <c r="H38" s="766">
        <f t="shared" si="20"/>
        <v>627259.89273383562</v>
      </c>
      <c r="I38" s="766">
        <f t="shared" si="20"/>
        <v>611624.13692469383</v>
      </c>
    </row>
    <row r="39" spans="1:9">
      <c r="A39" t="s">
        <v>432</v>
      </c>
      <c r="B39" s="766">
        <f>IFERROR(B38/B9,0)</f>
        <v>1516.1219683204299</v>
      </c>
      <c r="C39" s="766"/>
      <c r="D39" s="766">
        <f t="shared" ref="D39:I39" si="21">IFERROR(D38/D9,0)</f>
        <v>915.40623236111276</v>
      </c>
      <c r="E39" s="766">
        <f t="shared" si="21"/>
        <v>654.915016193415</v>
      </c>
      <c r="F39" s="766">
        <f t="shared" si="21"/>
        <v>530.10812134991943</v>
      </c>
      <c r="G39" s="766">
        <f t="shared" si="21"/>
        <v>1428.195420005133</v>
      </c>
      <c r="H39" s="766">
        <f t="shared" si="21"/>
        <v>1742.388590927321</v>
      </c>
      <c r="I39" s="766">
        <f t="shared" si="21"/>
        <v>1698.9559359019272</v>
      </c>
    </row>
  </sheetData>
  <sheetProtection algorithmName="SHA-512" hashValue="iBnj0uDHmzz6wfRZi93BkwlNWEoAYvZjbV1vvEVbuLCWz135EA82sm084j//PH01YAru6nKKy8+FXiyiXbLNqA==" saltValue="CEr+4zjUFP+lyRYURn08jQ==" spinCount="100000" sheet="1" objects="1" scenarios="1"/>
  <conditionalFormatting sqref="I1">
    <cfRule type="expression" dxfId="0" priority="1" stopIfTrue="1">
      <formula>MOD(ROW(),2)=0</formula>
    </cfRule>
  </conditionalFormatting>
  <hyperlinks>
    <hyperlink ref="I1" location="HypLink1" display="HypLink1"/>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de11d-28b9-446b-b5bf-13becf6c88d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B95709F910BD41AB0946B47C4A0D3E" ma:contentTypeVersion="11" ma:contentTypeDescription="Create a new document." ma:contentTypeScope="" ma:versionID="33df0653eb4bc5d19aa963e7dc93d66a">
  <xsd:schema xmlns:xsd="http://www.w3.org/2001/XMLSchema" xmlns:xs="http://www.w3.org/2001/XMLSchema" xmlns:p="http://schemas.microsoft.com/office/2006/metadata/properties" xmlns:ns3="e5cec023-fc6d-4580-82e0-d4352631b486" xmlns:ns4="506de11d-28b9-446b-b5bf-13becf6c88d7" targetNamespace="http://schemas.microsoft.com/office/2006/metadata/properties" ma:root="true" ma:fieldsID="8783e3279333e94b75fa88fec5557b88" ns3:_="" ns4:_="">
    <xsd:import namespace="e5cec023-fc6d-4580-82e0-d4352631b486"/>
    <xsd:import namespace="506de11d-28b9-446b-b5bf-13becf6c88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cec023-fc6d-4580-82e0-d4352631b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de11d-28b9-446b-b5bf-13becf6c88d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D409FB-C47F-4DBF-9CFF-B7D64C5F0F2A}">
  <ds:schemaRefs>
    <ds:schemaRef ds:uri="http://purl.org/dc/terms/"/>
    <ds:schemaRef ds:uri="http://schemas.openxmlformats.org/package/2006/metadata/core-properties"/>
    <ds:schemaRef ds:uri="506de11d-28b9-446b-b5bf-13becf6c88d7"/>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5cec023-fc6d-4580-82e0-d4352631b486"/>
    <ds:schemaRef ds:uri="http://www.w3.org/XML/1998/namespace"/>
  </ds:schemaRefs>
</ds:datastoreItem>
</file>

<file path=customXml/itemProps2.xml><?xml version="1.0" encoding="utf-8"?>
<ds:datastoreItem xmlns:ds="http://schemas.openxmlformats.org/officeDocument/2006/customXml" ds:itemID="{55D3422B-E249-4494-9C4D-065E7900828C}">
  <ds:schemaRefs>
    <ds:schemaRef ds:uri="http://schemas.microsoft.com/sharepoint/v3/contenttype/forms"/>
  </ds:schemaRefs>
</ds:datastoreItem>
</file>

<file path=customXml/itemProps3.xml><?xml version="1.0" encoding="utf-8"?>
<ds:datastoreItem xmlns:ds="http://schemas.openxmlformats.org/officeDocument/2006/customXml" ds:itemID="{D36F12EA-9758-4911-9873-33C9DE7FF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cec023-fc6d-4580-82e0-d4352631b486"/>
    <ds:schemaRef ds:uri="506de11d-28b9-446b-b5bf-13becf6c88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55</vt:i4>
      </vt:variant>
    </vt:vector>
  </HeadingPairs>
  <TitlesOfParts>
    <vt:vector size="76" baseType="lpstr">
      <vt:lpstr>Instructions</vt:lpstr>
      <vt:lpstr>Cover</vt:lpstr>
      <vt:lpstr>TOC</vt:lpstr>
      <vt:lpstr>Summary</vt:lpstr>
      <vt:lpstr>Market</vt:lpstr>
      <vt:lpstr> Enrol &amp; Rev</vt:lpstr>
      <vt:lpstr>CF Y1 Mo</vt:lpstr>
      <vt:lpstr>Staff</vt:lpstr>
      <vt:lpstr>Gen Optg</vt:lpstr>
      <vt:lpstr>Facilities</vt:lpstr>
      <vt:lpstr>FFE&amp;T</vt:lpstr>
      <vt:lpstr>Ins</vt:lpstr>
      <vt:lpstr>Marketing</vt:lpstr>
      <vt:lpstr>Incubation</vt:lpstr>
      <vt:lpstr>EMO-CMO</vt:lpstr>
      <vt:lpstr>PCFP Rates</vt:lpstr>
      <vt:lpstr>Facilities wkst</vt:lpstr>
      <vt:lpstr>Dev Notes</vt:lpstr>
      <vt:lpstr>Note FFE</vt:lpstr>
      <vt:lpstr>Eq wip</vt:lpstr>
      <vt:lpstr>Levers</vt:lpstr>
      <vt:lpstr>Counties</vt:lpstr>
      <vt:lpstr>County</vt:lpstr>
      <vt:lpstr>DSA</vt:lpstr>
      <vt:lpstr>HypLink1</vt:lpstr>
      <vt:lpstr>HypLink10</vt:lpstr>
      <vt:lpstr>HypLink11</vt:lpstr>
      <vt:lpstr>HypLink12</vt:lpstr>
      <vt:lpstr>HypLink13</vt:lpstr>
      <vt:lpstr>HypLink14</vt:lpstr>
      <vt:lpstr>HypLink15</vt:lpstr>
      <vt:lpstr>HypLink16</vt:lpstr>
      <vt:lpstr>HypLink17</vt:lpstr>
      <vt:lpstr>HypLink18</vt:lpstr>
      <vt:lpstr>HypLink19</vt:lpstr>
      <vt:lpstr>HypLink20</vt:lpstr>
      <vt:lpstr>HypLink21</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Cover!Print_Area</vt:lpstr>
      <vt:lpstr>'Dev Notes'!Print_Area</vt:lpstr>
      <vt:lpstr>'EMO-CMO'!Print_Area</vt:lpstr>
      <vt:lpstr>'Eq wip'!Print_Area</vt:lpstr>
      <vt:lpstr>Facilities!Print_Area</vt:lpstr>
      <vt:lpstr>'FFE&amp;T'!Print_Area</vt:lpstr>
      <vt:lpstr>'Gen Optg'!Print_Area</vt:lpstr>
      <vt:lpstr>Incubation!Print_Area</vt:lpstr>
      <vt:lpstr>Ins!Print_Area</vt:lpstr>
      <vt:lpstr>Instructions!Print_Area</vt:lpstr>
      <vt:lpstr>Levers!Print_Area</vt:lpstr>
      <vt:lpstr>Market!Print_Area</vt:lpstr>
      <vt:lpstr>Marketing!Print_Area</vt:lpstr>
      <vt:lpstr>'Note FFE'!Print_Area</vt:lpstr>
      <vt:lpstr>'PCFP Rates'!Print_Area</vt:lpstr>
      <vt:lpstr>Staff!Print_Area</vt:lpstr>
      <vt:lpstr>Summary!Print_Area</vt:lpstr>
      <vt:lpstr>TOC!Print_Area</vt:lpstr>
      <vt:lpstr>' Enrol &amp; Rev'!Print_Titles</vt:lpstr>
      <vt:lpstr>'CF Y1 Mo'!Print_Titles</vt:lpstr>
      <vt:lpstr>'EMO-CMO'!Print_Titles</vt:lpstr>
      <vt:lpstr>'Facilities wkst'!Print_Titles</vt:lpstr>
      <vt:lpstr>'Gen Optg'!Print_Titles</vt:lpstr>
      <vt:lpstr>Levers!Print_Titles</vt:lpstr>
      <vt:lpstr>Market!Print_Titles</vt:lpstr>
      <vt:lpstr>Marketing!Print_Titles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Ro Martinez-Saucedo</cp:lastModifiedBy>
  <cp:revision/>
  <dcterms:created xsi:type="dcterms:W3CDTF">2009-03-05T15:43:16Z</dcterms:created>
  <dcterms:modified xsi:type="dcterms:W3CDTF">2021-12-16T02:01:22Z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0x0101007AB95709F910BD41AB0946B47C4A0D3E</vt:lpwstr>
  </property>
</Properties>
</file>