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prty\Desktop\"/>
    </mc:Choice>
  </mc:AlternateContent>
  <xr:revisionPtr revIDLastSave="0" documentId="8_{EC5B7767-0179-42AD-801C-A990AAA00639}" xr6:coauthVersionLast="45" xr6:coauthVersionMax="45" xr10:uidLastSave="{00000000-0000-0000-0000-000000000000}"/>
  <bookViews>
    <workbookView xWindow="-108" yWindow="-108" windowWidth="23256" windowHeight="12576" tabRatio="602" xr2:uid="{00000000-000D-0000-FFFF-FFFF00000000}"/>
  </bookViews>
  <sheets>
    <sheet name="PANN - 6-Year" sheetId="8" r:id="rId1"/>
    <sheet name="FFE Summary" sheetId="14" r:id="rId2"/>
    <sheet name="Staff per School" sheetId="15" r:id="rId3"/>
    <sheet name="PANN 125c - 5-Year " sheetId="13" r:id="rId4"/>
    <sheet name="Faciltiy Expenses" sheetId="16" r:id="rId5"/>
  </sheets>
  <definedNames>
    <definedName name="_xlnm.Print_Area" localSheetId="0">'PANN - 6-Year'!$A$1:$G$169</definedName>
    <definedName name="_xlnm.Print_Area" localSheetId="3">'PANN 125c - 5-Year '!$A$1:$G$169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6" l="1"/>
  <c r="E7" i="16"/>
  <c r="F7" i="16"/>
  <c r="G7" i="16"/>
  <c r="H7" i="16"/>
  <c r="I7" i="16"/>
  <c r="D8" i="16"/>
  <c r="D9" i="16"/>
  <c r="D10" i="16"/>
  <c r="C16" i="16"/>
  <c r="C10" i="16"/>
  <c r="C11" i="16"/>
  <c r="C12" i="16"/>
  <c r="C13" i="16"/>
  <c r="C14" i="16"/>
  <c r="C15" i="16"/>
  <c r="C9" i="16"/>
  <c r="C8" i="16"/>
  <c r="C7" i="16"/>
  <c r="E6" i="16"/>
  <c r="F6" i="16"/>
  <c r="G6" i="16"/>
  <c r="H6" i="16"/>
  <c r="I6" i="16"/>
  <c r="D6" i="16"/>
  <c r="G150" i="8" l="1"/>
  <c r="I11" i="16" s="1"/>
  <c r="F150" i="8"/>
  <c r="H11" i="16" s="1"/>
  <c r="D150" i="8"/>
  <c r="F11" i="16" s="1"/>
  <c r="J21" i="8"/>
  <c r="K21" i="8" s="1"/>
  <c r="L21" i="8" s="1"/>
  <c r="M21" i="8" s="1"/>
  <c r="N21" i="8" s="1"/>
  <c r="G95" i="8"/>
  <c r="F95" i="8"/>
  <c r="E95" i="8"/>
  <c r="C95" i="8"/>
  <c r="B95" i="8"/>
  <c r="B96" i="8"/>
  <c r="B94" i="8"/>
  <c r="C140" i="8" l="1"/>
  <c r="D140" i="8" s="1"/>
  <c r="E140" i="8" s="1"/>
  <c r="F140" i="8" s="1"/>
  <c r="G140" i="8" s="1"/>
  <c r="G92" i="8" l="1"/>
  <c r="F92" i="8"/>
  <c r="E92" i="8"/>
  <c r="D92" i="8"/>
  <c r="C92" i="8"/>
  <c r="J92" i="8"/>
  <c r="K92" i="8" s="1"/>
  <c r="L92" i="8" s="1"/>
  <c r="M92" i="8" s="1"/>
  <c r="N92" i="8" s="1"/>
  <c r="J91" i="8"/>
  <c r="K91" i="8" s="1"/>
  <c r="L91" i="8" s="1"/>
  <c r="M91" i="8" s="1"/>
  <c r="N91" i="8" s="1"/>
  <c r="T101" i="8" l="1"/>
  <c r="T102" i="8" s="1"/>
  <c r="C87" i="8"/>
  <c r="D87" i="8" l="1"/>
  <c r="Q25" i="15" l="1"/>
  <c r="R25" i="15"/>
  <c r="B93" i="8" l="1"/>
  <c r="E34" i="15"/>
  <c r="F34" i="15" s="1"/>
  <c r="G34" i="15" s="1"/>
  <c r="H34" i="15" s="1"/>
  <c r="I34" i="15" s="1"/>
  <c r="E72" i="15"/>
  <c r="E52" i="15" s="1"/>
  <c r="D71" i="15"/>
  <c r="D51" i="15" s="1"/>
  <c r="F72" i="15"/>
  <c r="F91" i="15" s="1"/>
  <c r="G72" i="15"/>
  <c r="G91" i="15" s="1"/>
  <c r="H72" i="15"/>
  <c r="H91" i="15" s="1"/>
  <c r="I72" i="15"/>
  <c r="I52" i="15" s="1"/>
  <c r="E71" i="15"/>
  <c r="F71" i="15"/>
  <c r="F51" i="15" s="1"/>
  <c r="G71" i="15"/>
  <c r="G90" i="15" s="1"/>
  <c r="H71" i="15"/>
  <c r="H90" i="15" s="1"/>
  <c r="I71" i="15"/>
  <c r="I90" i="15" s="1"/>
  <c r="E64" i="15"/>
  <c r="E44" i="15" s="1"/>
  <c r="F64" i="15"/>
  <c r="F83" i="15" s="1"/>
  <c r="G64" i="15"/>
  <c r="G44" i="15" s="1"/>
  <c r="H64" i="15"/>
  <c r="H83" i="15" s="1"/>
  <c r="I64" i="15"/>
  <c r="I83" i="15" s="1"/>
  <c r="E65" i="15"/>
  <c r="E45" i="15" s="1"/>
  <c r="F65" i="15"/>
  <c r="F45" i="15" s="1"/>
  <c r="G65" i="15"/>
  <c r="G84" i="15" s="1"/>
  <c r="H65" i="15"/>
  <c r="H84" i="15" s="1"/>
  <c r="I65" i="15"/>
  <c r="I45" i="15" s="1"/>
  <c r="E66" i="15"/>
  <c r="E85" i="15" s="1"/>
  <c r="F66" i="15"/>
  <c r="F85" i="15" s="1"/>
  <c r="G66" i="15"/>
  <c r="G85" i="15" s="1"/>
  <c r="H66" i="15"/>
  <c r="H46" i="15" s="1"/>
  <c r="I66" i="15"/>
  <c r="I85" i="15" s="1"/>
  <c r="E67" i="15"/>
  <c r="E47" i="15" s="1"/>
  <c r="F67" i="15"/>
  <c r="F47" i="15" s="1"/>
  <c r="G67" i="15"/>
  <c r="H67" i="15"/>
  <c r="H86" i="15" s="1"/>
  <c r="I67" i="15"/>
  <c r="I47" i="15" s="1"/>
  <c r="E68" i="15"/>
  <c r="E87" i="15" s="1"/>
  <c r="F68" i="15"/>
  <c r="F87" i="15" s="1"/>
  <c r="G68" i="15"/>
  <c r="G87" i="15" s="1"/>
  <c r="H68" i="15"/>
  <c r="H48" i="15" s="1"/>
  <c r="I68" i="15"/>
  <c r="I87" i="15" s="1"/>
  <c r="E69" i="15"/>
  <c r="E88" i="15" s="1"/>
  <c r="F69" i="15"/>
  <c r="F49" i="15" s="1"/>
  <c r="G69" i="15"/>
  <c r="G88" i="15" s="1"/>
  <c r="H69" i="15"/>
  <c r="H49" i="15" s="1"/>
  <c r="I69" i="15"/>
  <c r="I88" i="15" s="1"/>
  <c r="E70" i="15"/>
  <c r="E50" i="15" s="1"/>
  <c r="F70" i="15"/>
  <c r="F89" i="15" s="1"/>
  <c r="G70" i="15"/>
  <c r="G50" i="15" s="1"/>
  <c r="H70" i="15"/>
  <c r="H50" i="15" s="1"/>
  <c r="I70" i="15"/>
  <c r="I89" i="15" s="1"/>
  <c r="D65" i="15"/>
  <c r="D84" i="15" s="1"/>
  <c r="D66" i="15"/>
  <c r="D85" i="15" s="1"/>
  <c r="D67" i="15"/>
  <c r="D86" i="15" s="1"/>
  <c r="D68" i="15"/>
  <c r="D87" i="15" s="1"/>
  <c r="D69" i="15"/>
  <c r="D49" i="15" s="1"/>
  <c r="D70" i="15"/>
  <c r="D50" i="15" s="1"/>
  <c r="D64" i="15"/>
  <c r="D83" i="15" s="1"/>
  <c r="I91" i="15"/>
  <c r="F90" i="15"/>
  <c r="E90" i="15"/>
  <c r="D89" i="15"/>
  <c r="H88" i="15"/>
  <c r="F88" i="15"/>
  <c r="G86" i="15"/>
  <c r="I84" i="15"/>
  <c r="F84" i="15"/>
  <c r="E84" i="15"/>
  <c r="G83" i="15"/>
  <c r="H52" i="15"/>
  <c r="G52" i="15"/>
  <c r="E51" i="15"/>
  <c r="I50" i="15"/>
  <c r="E49" i="15"/>
  <c r="F48" i="15"/>
  <c r="E48" i="15"/>
  <c r="G47" i="15"/>
  <c r="G46" i="15"/>
  <c r="E46" i="15"/>
  <c r="D46" i="15"/>
  <c r="H44" i="15"/>
  <c r="F44" i="15"/>
  <c r="D44" i="15"/>
  <c r="D23" i="15"/>
  <c r="D12" i="15"/>
  <c r="E12" i="15"/>
  <c r="F12" i="15"/>
  <c r="G12" i="15"/>
  <c r="H12" i="15"/>
  <c r="I12" i="15"/>
  <c r="E13" i="15"/>
  <c r="F13" i="15"/>
  <c r="G13" i="15"/>
  <c r="H13" i="15"/>
  <c r="I13" i="15"/>
  <c r="E14" i="15"/>
  <c r="F14" i="15"/>
  <c r="G14" i="15"/>
  <c r="H14" i="15"/>
  <c r="I14" i="15"/>
  <c r="E15" i="15"/>
  <c r="F15" i="15"/>
  <c r="G15" i="15"/>
  <c r="H15" i="15"/>
  <c r="I15" i="15"/>
  <c r="E17" i="15"/>
  <c r="F17" i="15"/>
  <c r="G17" i="15"/>
  <c r="H17" i="15"/>
  <c r="I17" i="15"/>
  <c r="E18" i="15"/>
  <c r="F18" i="15"/>
  <c r="G18" i="15"/>
  <c r="H18" i="15"/>
  <c r="I18" i="15"/>
  <c r="E19" i="15"/>
  <c r="F19" i="15"/>
  <c r="G19" i="15"/>
  <c r="H19" i="15"/>
  <c r="I19" i="15"/>
  <c r="E20" i="15"/>
  <c r="F20" i="15"/>
  <c r="G20" i="15"/>
  <c r="H20" i="15"/>
  <c r="I20" i="15"/>
  <c r="E21" i="15"/>
  <c r="F21" i="15"/>
  <c r="G21" i="15"/>
  <c r="H21" i="15"/>
  <c r="I21" i="15"/>
  <c r="E22" i="15"/>
  <c r="F22" i="15"/>
  <c r="G22" i="15"/>
  <c r="H22" i="15"/>
  <c r="I22" i="15"/>
  <c r="E23" i="15"/>
  <c r="F23" i="15"/>
  <c r="G23" i="15"/>
  <c r="H23" i="15"/>
  <c r="I23" i="15"/>
  <c r="D22" i="15"/>
  <c r="D21" i="15"/>
  <c r="D20" i="15"/>
  <c r="D19" i="15"/>
  <c r="D18" i="15"/>
  <c r="D17" i="15"/>
  <c r="D15" i="15"/>
  <c r="D14" i="15"/>
  <c r="D13" i="15"/>
  <c r="F103" i="8"/>
  <c r="G103" i="8" s="1"/>
  <c r="C89" i="8"/>
  <c r="B2" i="8"/>
  <c r="I51" i="15" l="1"/>
  <c r="I86" i="15"/>
  <c r="D45" i="15"/>
  <c r="G49" i="15"/>
  <c r="I49" i="15"/>
  <c r="E86" i="15"/>
  <c r="H45" i="15"/>
  <c r="I48" i="15"/>
  <c r="F86" i="15"/>
  <c r="G89" i="15"/>
  <c r="E83" i="15"/>
  <c r="H89" i="15"/>
  <c r="D88" i="15"/>
  <c r="F52" i="15"/>
  <c r="D90" i="15"/>
  <c r="E89" i="15"/>
  <c r="E91" i="15"/>
  <c r="I44" i="15"/>
  <c r="I46" i="15"/>
  <c r="D47" i="15"/>
  <c r="H85" i="15"/>
  <c r="H87" i="15"/>
  <c r="G51" i="15"/>
  <c r="H51" i="15"/>
  <c r="G45" i="15"/>
  <c r="F50" i="15"/>
  <c r="F46" i="15"/>
  <c r="H47" i="15"/>
  <c r="G48" i="15"/>
  <c r="D48" i="15"/>
  <c r="G94" i="8" l="1"/>
  <c r="G96" i="8"/>
  <c r="M4" i="8"/>
  <c r="N4" i="8"/>
  <c r="M5" i="8"/>
  <c r="N5" i="8"/>
  <c r="M6" i="8"/>
  <c r="N6" i="8"/>
  <c r="M7" i="8"/>
  <c r="N7" i="8"/>
  <c r="M8" i="8"/>
  <c r="N8" i="8"/>
  <c r="M9" i="8"/>
  <c r="N9" i="8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B73" i="8"/>
  <c r="U10" i="8" l="1"/>
  <c r="T10" i="8"/>
  <c r="N17" i="8"/>
  <c r="L38" i="15"/>
  <c r="M38" i="15"/>
  <c r="N38" i="15"/>
  <c r="O38" i="15"/>
  <c r="P38" i="15"/>
  <c r="D77" i="15"/>
  <c r="D79" i="15" s="1"/>
  <c r="E77" i="15"/>
  <c r="E79" i="15" s="1"/>
  <c r="F77" i="15"/>
  <c r="F79" i="15" s="1"/>
  <c r="G77" i="15"/>
  <c r="G79" i="15" s="1"/>
  <c r="H77" i="15"/>
  <c r="H79" i="15" s="1"/>
  <c r="I77" i="15"/>
  <c r="I79" i="15" s="1"/>
  <c r="D96" i="15"/>
  <c r="D98" i="15" s="1"/>
  <c r="E96" i="15"/>
  <c r="F96" i="15"/>
  <c r="G96" i="15"/>
  <c r="H96" i="15"/>
  <c r="I96" i="15"/>
  <c r="J7" i="14"/>
  <c r="B116" i="8" s="1"/>
  <c r="J8" i="14"/>
  <c r="C116" i="8" s="1"/>
  <c r="J9" i="14"/>
  <c r="D116" i="8" s="1"/>
  <c r="J10" i="14"/>
  <c r="E116" i="8" s="1"/>
  <c r="J11" i="14"/>
  <c r="F116" i="8" s="1"/>
  <c r="J12" i="14"/>
  <c r="G116" i="8" s="1"/>
  <c r="J13" i="14"/>
  <c r="J14" i="14"/>
  <c r="J15" i="14"/>
  <c r="J16" i="14"/>
  <c r="I98" i="15" l="1"/>
  <c r="H98" i="15"/>
  <c r="U8" i="8"/>
  <c r="E98" i="15"/>
  <c r="G98" i="15"/>
  <c r="F98" i="15"/>
  <c r="H57" i="15"/>
  <c r="H59" i="15" s="1"/>
  <c r="D57" i="15"/>
  <c r="D59" i="15" s="1"/>
  <c r="F57" i="15"/>
  <c r="F59" i="15" s="1"/>
  <c r="G57" i="15"/>
  <c r="G59" i="15" s="1"/>
  <c r="I57" i="15"/>
  <c r="I59" i="15" s="1"/>
  <c r="E57" i="15"/>
  <c r="E59" i="15" s="1"/>
  <c r="F176" i="8" l="1"/>
  <c r="F174" i="8"/>
  <c r="F177" i="8" s="1"/>
  <c r="F169" i="8"/>
  <c r="F152" i="8"/>
  <c r="H13" i="16" s="1"/>
  <c r="F147" i="8"/>
  <c r="F114" i="8"/>
  <c r="F96" i="8"/>
  <c r="F94" i="8"/>
  <c r="F85" i="8"/>
  <c r="F81" i="8"/>
  <c r="F58" i="8"/>
  <c r="F61" i="8" s="1"/>
  <c r="F38" i="8"/>
  <c r="F26" i="8"/>
  <c r="F25" i="8"/>
  <c r="F19" i="8"/>
  <c r="F17" i="8"/>
  <c r="F72" i="8" s="1"/>
  <c r="F124" i="8" s="1"/>
  <c r="F3" i="8"/>
  <c r="F78" i="8" l="1"/>
  <c r="F36" i="8"/>
  <c r="H16" i="15"/>
  <c r="O25" i="15" s="1"/>
  <c r="H3" i="14"/>
  <c r="H7" i="15"/>
  <c r="F151" i="8"/>
  <c r="H12" i="16" s="1"/>
  <c r="F20" i="8"/>
  <c r="F128" i="8"/>
  <c r="F120" i="8"/>
  <c r="F112" i="8"/>
  <c r="F115" i="8"/>
  <c r="F60" i="8"/>
  <c r="F62" i="8" s="1"/>
  <c r="F129" i="8" s="1"/>
  <c r="F117" i="8"/>
  <c r="F132" i="8"/>
  <c r="F118" i="8"/>
  <c r="F119" i="8"/>
  <c r="F126" i="8"/>
  <c r="M36" i="8" l="1"/>
  <c r="F91" i="8"/>
  <c r="F142" i="8"/>
  <c r="H29" i="15"/>
  <c r="C182" i="13"/>
  <c r="E177" i="13"/>
  <c r="G176" i="13"/>
  <c r="F176" i="13"/>
  <c r="E176" i="13"/>
  <c r="D176" i="13"/>
  <c r="C176" i="13"/>
  <c r="G174" i="13"/>
  <c r="F174" i="13"/>
  <c r="E174" i="13"/>
  <c r="D174" i="13"/>
  <c r="C174" i="13"/>
  <c r="G169" i="13"/>
  <c r="F169" i="13"/>
  <c r="E169" i="13"/>
  <c r="D169" i="13"/>
  <c r="C169" i="13"/>
  <c r="B169" i="13"/>
  <c r="A169" i="13"/>
  <c r="B156" i="13"/>
  <c r="E155" i="13"/>
  <c r="F155" i="13" s="1"/>
  <c r="G155" i="13" s="1"/>
  <c r="C155" i="13"/>
  <c r="C154" i="13"/>
  <c r="D154" i="13" s="1"/>
  <c r="E154" i="13" s="1"/>
  <c r="F154" i="13" s="1"/>
  <c r="G154" i="13" s="1"/>
  <c r="C153" i="13"/>
  <c r="D153" i="13" s="1"/>
  <c r="E153" i="13" s="1"/>
  <c r="F153" i="13" s="1"/>
  <c r="G153" i="13" s="1"/>
  <c r="G152" i="13"/>
  <c r="G150" i="13"/>
  <c r="F150" i="13"/>
  <c r="E150" i="13"/>
  <c r="D150" i="13"/>
  <c r="C150" i="13"/>
  <c r="D149" i="13"/>
  <c r="E149" i="13" s="1"/>
  <c r="F149" i="13" s="1"/>
  <c r="G149" i="13" s="1"/>
  <c r="D148" i="13"/>
  <c r="E148" i="13" s="1"/>
  <c r="G147" i="13"/>
  <c r="F147" i="13"/>
  <c r="E147" i="13"/>
  <c r="D147" i="13"/>
  <c r="C147" i="13"/>
  <c r="B147" i="13"/>
  <c r="B146" i="13"/>
  <c r="E144" i="13"/>
  <c r="F144" i="13" s="1"/>
  <c r="G144" i="13" s="1"/>
  <c r="D144" i="13"/>
  <c r="D143" i="13"/>
  <c r="E143" i="13" s="1"/>
  <c r="F143" i="13" s="1"/>
  <c r="E141" i="13"/>
  <c r="F141" i="13" s="1"/>
  <c r="G141" i="13" s="1"/>
  <c r="D141" i="13"/>
  <c r="D140" i="13"/>
  <c r="E140" i="13" s="1"/>
  <c r="F140" i="13" s="1"/>
  <c r="G140" i="13" s="1"/>
  <c r="D135" i="13"/>
  <c r="D131" i="13"/>
  <c r="E131" i="13" s="1"/>
  <c r="F131" i="13" s="1"/>
  <c r="G131" i="13" s="1"/>
  <c r="E130" i="13"/>
  <c r="D127" i="13"/>
  <c r="E127" i="13" s="1"/>
  <c r="F127" i="13" s="1"/>
  <c r="G127" i="13" s="1"/>
  <c r="D123" i="13"/>
  <c r="E123" i="13" s="1"/>
  <c r="F123" i="13" s="1"/>
  <c r="G123" i="13" s="1"/>
  <c r="C121" i="13"/>
  <c r="G114" i="13"/>
  <c r="F114" i="13"/>
  <c r="E114" i="13"/>
  <c r="D114" i="13"/>
  <c r="C114" i="13"/>
  <c r="B114" i="13"/>
  <c r="G106" i="13"/>
  <c r="F106" i="13"/>
  <c r="E106" i="13"/>
  <c r="D106" i="13"/>
  <c r="C106" i="13"/>
  <c r="C105" i="13"/>
  <c r="D105" i="13" s="1"/>
  <c r="E105" i="13" s="1"/>
  <c r="F105" i="13" s="1"/>
  <c r="G105" i="13" s="1"/>
  <c r="F104" i="13"/>
  <c r="G104" i="13" s="1"/>
  <c r="C104" i="13"/>
  <c r="D104" i="13" s="1"/>
  <c r="E104" i="13" s="1"/>
  <c r="C103" i="13"/>
  <c r="D103" i="13" s="1"/>
  <c r="E103" i="13" s="1"/>
  <c r="F103" i="13" s="1"/>
  <c r="G103" i="13" s="1"/>
  <c r="C102" i="13"/>
  <c r="D102" i="13" s="1"/>
  <c r="E102" i="13" s="1"/>
  <c r="F102" i="13" s="1"/>
  <c r="G102" i="13" s="1"/>
  <c r="E101" i="13"/>
  <c r="F101" i="13" s="1"/>
  <c r="G101" i="13" s="1"/>
  <c r="D101" i="13"/>
  <c r="C101" i="13"/>
  <c r="F100" i="13"/>
  <c r="G100" i="13" s="1"/>
  <c r="C100" i="13"/>
  <c r="D100" i="13" s="1"/>
  <c r="E100" i="13" s="1"/>
  <c r="G96" i="13"/>
  <c r="F96" i="13"/>
  <c r="E96" i="13"/>
  <c r="D96" i="13"/>
  <c r="C96" i="13"/>
  <c r="B96" i="13"/>
  <c r="G95" i="13"/>
  <c r="F95" i="13"/>
  <c r="E95" i="13"/>
  <c r="D95" i="13"/>
  <c r="C95" i="13"/>
  <c r="B95" i="13"/>
  <c r="G94" i="13"/>
  <c r="F94" i="13"/>
  <c r="E94" i="13"/>
  <c r="D94" i="13"/>
  <c r="C94" i="13"/>
  <c r="B94" i="13"/>
  <c r="C93" i="13"/>
  <c r="G92" i="13"/>
  <c r="F92" i="13"/>
  <c r="E92" i="13"/>
  <c r="D92" i="13"/>
  <c r="C92" i="13"/>
  <c r="B92" i="13"/>
  <c r="E90" i="13"/>
  <c r="F90" i="13" s="1"/>
  <c r="G90" i="13" s="1"/>
  <c r="D90" i="13"/>
  <c r="D89" i="13"/>
  <c r="E89" i="13" s="1"/>
  <c r="F89" i="13" s="1"/>
  <c r="G89" i="13" s="1"/>
  <c r="D88" i="13"/>
  <c r="E88" i="13" s="1"/>
  <c r="F88" i="13" s="1"/>
  <c r="G88" i="13" s="1"/>
  <c r="C87" i="13"/>
  <c r="D87" i="13" s="1"/>
  <c r="E87" i="13" s="1"/>
  <c r="F87" i="13" s="1"/>
  <c r="G87" i="13" s="1"/>
  <c r="C86" i="13"/>
  <c r="D86" i="13" s="1"/>
  <c r="G85" i="13"/>
  <c r="F85" i="13"/>
  <c r="E85" i="13"/>
  <c r="D85" i="13"/>
  <c r="C85" i="13"/>
  <c r="B85" i="13"/>
  <c r="G81" i="13"/>
  <c r="F81" i="13"/>
  <c r="E81" i="13"/>
  <c r="D81" i="13"/>
  <c r="C81" i="13"/>
  <c r="B81" i="13"/>
  <c r="C80" i="13"/>
  <c r="C79" i="13"/>
  <c r="G78" i="13"/>
  <c r="F78" i="13"/>
  <c r="E78" i="13"/>
  <c r="D78" i="13"/>
  <c r="C78" i="13"/>
  <c r="B78" i="13"/>
  <c r="B76" i="13"/>
  <c r="B74" i="13"/>
  <c r="B80" i="13" s="1"/>
  <c r="B73" i="13"/>
  <c r="B79" i="13" s="1"/>
  <c r="G58" i="13"/>
  <c r="G61" i="13" s="1"/>
  <c r="F58" i="13"/>
  <c r="F61" i="13" s="1"/>
  <c r="E58" i="13"/>
  <c r="E61" i="13" s="1"/>
  <c r="D58" i="13"/>
  <c r="D61" i="13" s="1"/>
  <c r="C58" i="13"/>
  <c r="C61" i="13" s="1"/>
  <c r="B58" i="13"/>
  <c r="B61" i="13" s="1"/>
  <c r="G38" i="13"/>
  <c r="F38" i="13"/>
  <c r="E38" i="13"/>
  <c r="D38" i="13"/>
  <c r="C38" i="13"/>
  <c r="B38" i="13"/>
  <c r="B36" i="13"/>
  <c r="B112" i="13" s="1"/>
  <c r="G26" i="13"/>
  <c r="G36" i="13" s="1"/>
  <c r="F26" i="13"/>
  <c r="F36" i="13" s="1"/>
  <c r="E26" i="13"/>
  <c r="E36" i="13" s="1"/>
  <c r="E91" i="13" s="1"/>
  <c r="D26" i="13"/>
  <c r="D36" i="13" s="1"/>
  <c r="C26" i="13"/>
  <c r="C36" i="13" s="1"/>
  <c r="G25" i="13"/>
  <c r="F25" i="13"/>
  <c r="E25" i="13"/>
  <c r="D25" i="13"/>
  <c r="C25" i="13"/>
  <c r="B25" i="13"/>
  <c r="G19" i="13"/>
  <c r="F19" i="13"/>
  <c r="E19" i="13"/>
  <c r="D19" i="13"/>
  <c r="C19" i="13"/>
  <c r="B19" i="13"/>
  <c r="G17" i="13"/>
  <c r="F17" i="13"/>
  <c r="F126" i="13" s="1"/>
  <c r="E17" i="13"/>
  <c r="D17" i="13"/>
  <c r="D132" i="13" s="1"/>
  <c r="C17" i="13"/>
  <c r="C151" i="13" s="1"/>
  <c r="B17" i="13"/>
  <c r="N16" i="13"/>
  <c r="M16" i="13"/>
  <c r="L16" i="13"/>
  <c r="K16" i="13"/>
  <c r="J16" i="13"/>
  <c r="I16" i="13"/>
  <c r="N15" i="13"/>
  <c r="M15" i="13"/>
  <c r="L15" i="13"/>
  <c r="K15" i="13"/>
  <c r="J15" i="13"/>
  <c r="I15" i="13"/>
  <c r="N14" i="13"/>
  <c r="M14" i="13"/>
  <c r="L14" i="13"/>
  <c r="K14" i="13"/>
  <c r="J14" i="13"/>
  <c r="I14" i="13"/>
  <c r="N13" i="13"/>
  <c r="M13" i="13"/>
  <c r="L13" i="13"/>
  <c r="K13" i="13"/>
  <c r="J13" i="13"/>
  <c r="I13" i="13"/>
  <c r="N12" i="13"/>
  <c r="M12" i="13"/>
  <c r="L12" i="13"/>
  <c r="K12" i="13"/>
  <c r="J12" i="13"/>
  <c r="I12" i="13"/>
  <c r="N11" i="13"/>
  <c r="M11" i="13"/>
  <c r="L11" i="13"/>
  <c r="K11" i="13"/>
  <c r="J11" i="13"/>
  <c r="I11" i="13"/>
  <c r="N10" i="13"/>
  <c r="M10" i="13"/>
  <c r="L10" i="13"/>
  <c r="K10" i="13"/>
  <c r="J10" i="13"/>
  <c r="I10" i="13"/>
  <c r="N9" i="13"/>
  <c r="M9" i="13"/>
  <c r="L9" i="13"/>
  <c r="K9" i="13"/>
  <c r="J9" i="13"/>
  <c r="N8" i="13"/>
  <c r="M8" i="13"/>
  <c r="L8" i="13"/>
  <c r="K8" i="13"/>
  <c r="J8" i="13"/>
  <c r="I8" i="13"/>
  <c r="N7" i="13"/>
  <c r="M7" i="13"/>
  <c r="L7" i="13"/>
  <c r="K7" i="13"/>
  <c r="J7" i="13"/>
  <c r="I7" i="13"/>
  <c r="N6" i="13"/>
  <c r="M6" i="13"/>
  <c r="L6" i="13"/>
  <c r="K6" i="13"/>
  <c r="J6" i="13"/>
  <c r="I6" i="13"/>
  <c r="N5" i="13"/>
  <c r="M5" i="13"/>
  <c r="L5" i="13"/>
  <c r="K5" i="13"/>
  <c r="J5" i="13"/>
  <c r="I5" i="13"/>
  <c r="N4" i="13"/>
  <c r="M4" i="13"/>
  <c r="L4" i="13"/>
  <c r="K4" i="13"/>
  <c r="J4" i="13"/>
  <c r="I4" i="13"/>
  <c r="G3" i="13"/>
  <c r="F3" i="13"/>
  <c r="E3" i="13"/>
  <c r="D3" i="13"/>
  <c r="C3" i="13"/>
  <c r="B2" i="13"/>
  <c r="C2" i="13" s="1"/>
  <c r="I17" i="13" l="1"/>
  <c r="I18" i="13" s="1"/>
  <c r="M17" i="13"/>
  <c r="F112" i="13"/>
  <c r="F177" i="13"/>
  <c r="D177" i="13"/>
  <c r="N17" i="13"/>
  <c r="N18" i="13" s="1"/>
  <c r="L17" i="13"/>
  <c r="L18" i="13" s="1"/>
  <c r="M18" i="13"/>
  <c r="K17" i="13"/>
  <c r="K18" i="13" s="1"/>
  <c r="D115" i="13"/>
  <c r="J17" i="13"/>
  <c r="J18" i="13" s="1"/>
  <c r="D91" i="13"/>
  <c r="D112" i="13"/>
  <c r="D60" i="13"/>
  <c r="D62" i="13" s="1"/>
  <c r="D129" i="13" s="1"/>
  <c r="D2" i="13"/>
  <c r="C71" i="13"/>
  <c r="C76" i="13" s="1"/>
  <c r="C77" i="13"/>
  <c r="C112" i="13"/>
  <c r="C60" i="13"/>
  <c r="C62" i="13" s="1"/>
  <c r="C129" i="13" s="1"/>
  <c r="C91" i="13"/>
  <c r="G112" i="13"/>
  <c r="G60" i="13"/>
  <c r="G62" i="13" s="1"/>
  <c r="G129" i="13" s="1"/>
  <c r="G91" i="13"/>
  <c r="G143" i="13"/>
  <c r="C156" i="13"/>
  <c r="F151" i="13"/>
  <c r="F117" i="13"/>
  <c r="F132" i="13"/>
  <c r="F120" i="13"/>
  <c r="F115" i="13"/>
  <c r="F128" i="13"/>
  <c r="F119" i="13"/>
  <c r="D20" i="13"/>
  <c r="E60" i="13"/>
  <c r="E62" i="13" s="1"/>
  <c r="E129" i="13" s="1"/>
  <c r="E86" i="13"/>
  <c r="B91" i="13"/>
  <c r="B97" i="13" s="1"/>
  <c r="B107" i="13" s="1"/>
  <c r="D93" i="13"/>
  <c r="E93" i="13" s="1"/>
  <c r="F93" i="13" s="1"/>
  <c r="G93" i="13" s="1"/>
  <c r="E112" i="13"/>
  <c r="C117" i="13"/>
  <c r="D120" i="13"/>
  <c r="F148" i="13"/>
  <c r="E126" i="13"/>
  <c r="E118" i="13"/>
  <c r="E151" i="13"/>
  <c r="E156" i="13" s="1"/>
  <c r="E117" i="13"/>
  <c r="E132" i="13"/>
  <c r="E120" i="13"/>
  <c r="E115" i="13"/>
  <c r="F91" i="13"/>
  <c r="C132" i="13"/>
  <c r="C120" i="13"/>
  <c r="C115" i="13"/>
  <c r="C128" i="13"/>
  <c r="C119" i="13"/>
  <c r="C126" i="13"/>
  <c r="C118" i="13"/>
  <c r="G132" i="13"/>
  <c r="G120" i="13"/>
  <c r="G115" i="13"/>
  <c r="G128" i="13"/>
  <c r="G119" i="13"/>
  <c r="G126" i="13"/>
  <c r="G118" i="13"/>
  <c r="B60" i="13"/>
  <c r="B62" i="13" s="1"/>
  <c r="F60" i="13"/>
  <c r="F62" i="13" s="1"/>
  <c r="F129" i="13" s="1"/>
  <c r="B82" i="13"/>
  <c r="G117" i="13"/>
  <c r="F130" i="13"/>
  <c r="E135" i="13"/>
  <c r="G151" i="13"/>
  <c r="E119" i="13"/>
  <c r="E128" i="13"/>
  <c r="D128" i="13"/>
  <c r="D119" i="13"/>
  <c r="D126" i="13"/>
  <c r="D118" i="13"/>
  <c r="D151" i="13"/>
  <c r="D156" i="13" s="1"/>
  <c r="D117" i="13"/>
  <c r="F118" i="13"/>
  <c r="C177" i="13"/>
  <c r="G177" i="13"/>
  <c r="F135" i="13" l="1"/>
  <c r="D121" i="13"/>
  <c r="D74" i="13"/>
  <c r="D80" i="13" s="1"/>
  <c r="D73" i="13"/>
  <c r="D79" i="13" s="1"/>
  <c r="E20" i="13"/>
  <c r="D77" i="13"/>
  <c r="D71" i="13"/>
  <c r="E2" i="13"/>
  <c r="B108" i="13"/>
  <c r="B109" i="13"/>
  <c r="D97" i="13"/>
  <c r="D107" i="13" s="1"/>
  <c r="D65" i="13" s="1"/>
  <c r="D66" i="13"/>
  <c r="G130" i="13"/>
  <c r="G148" i="13"/>
  <c r="G156" i="13" s="1"/>
  <c r="F156" i="13"/>
  <c r="E97" i="13"/>
  <c r="E107" i="13" s="1"/>
  <c r="E66" i="13" s="1"/>
  <c r="F86" i="13"/>
  <c r="C139" i="13"/>
  <c r="C138" i="13"/>
  <c r="C137" i="13"/>
  <c r="C82" i="13"/>
  <c r="C97" i="13"/>
  <c r="C107" i="13" s="1"/>
  <c r="C65" i="13" s="1"/>
  <c r="B113" i="13" l="1"/>
  <c r="B158" i="13" s="1"/>
  <c r="B166" i="13" s="1"/>
  <c r="C146" i="13"/>
  <c r="D76" i="13"/>
  <c r="F97" i="13"/>
  <c r="F107" i="13" s="1"/>
  <c r="G86" i="13"/>
  <c r="D139" i="13"/>
  <c r="D138" i="13"/>
  <c r="D137" i="13"/>
  <c r="D82" i="13"/>
  <c r="E121" i="13"/>
  <c r="E73" i="13"/>
  <c r="E79" i="13" s="1"/>
  <c r="F20" i="13"/>
  <c r="E74" i="13"/>
  <c r="E80" i="13" s="1"/>
  <c r="E77" i="13"/>
  <c r="E71" i="13"/>
  <c r="F2" i="13"/>
  <c r="C108" i="13"/>
  <c r="C109" i="13"/>
  <c r="C66" i="13"/>
  <c r="G135" i="13"/>
  <c r="E109" i="13"/>
  <c r="E108" i="13"/>
  <c r="E65" i="13"/>
  <c r="D109" i="13"/>
  <c r="D108" i="13"/>
  <c r="E113" i="13" l="1"/>
  <c r="D113" i="13"/>
  <c r="E76" i="13"/>
  <c r="E138" i="13"/>
  <c r="E137" i="13"/>
  <c r="E82" i="13"/>
  <c r="E139" i="13"/>
  <c r="F121" i="13"/>
  <c r="F73" i="13"/>
  <c r="F79" i="13" s="1"/>
  <c r="G20" i="13"/>
  <c r="F74" i="13"/>
  <c r="F80" i="13" s="1"/>
  <c r="G97" i="13"/>
  <c r="G107" i="13" s="1"/>
  <c r="G66" i="13" s="1"/>
  <c r="F108" i="13"/>
  <c r="F109" i="13"/>
  <c r="F65" i="13"/>
  <c r="D146" i="13"/>
  <c r="F71" i="13"/>
  <c r="F77" i="13"/>
  <c r="G2" i="13"/>
  <c r="C113" i="13"/>
  <c r="F66" i="13"/>
  <c r="F113" i="13" l="1"/>
  <c r="E146" i="13"/>
  <c r="E158" i="13" s="1"/>
  <c r="E198" i="13" s="1"/>
  <c r="F76" i="13"/>
  <c r="D158" i="13"/>
  <c r="D192" i="13" s="1"/>
  <c r="E199" i="13"/>
  <c r="E191" i="13"/>
  <c r="E193" i="13"/>
  <c r="E189" i="13"/>
  <c r="E195" i="13"/>
  <c r="C158" i="13"/>
  <c r="C64" i="13" s="1"/>
  <c r="G77" i="13"/>
  <c r="G71" i="13"/>
  <c r="G121" i="13"/>
  <c r="G74" i="13"/>
  <c r="G80" i="13" s="1"/>
  <c r="G73" i="13"/>
  <c r="G79" i="13" s="1"/>
  <c r="F137" i="13"/>
  <c r="F139" i="13"/>
  <c r="F82" i="13"/>
  <c r="F138" i="13"/>
  <c r="D197" i="13"/>
  <c r="D196" i="13"/>
  <c r="G108" i="13"/>
  <c r="G109" i="13"/>
  <c r="G65" i="13"/>
  <c r="E201" i="13"/>
  <c r="E166" i="13" l="1"/>
  <c r="E200" i="13"/>
  <c r="E67" i="13"/>
  <c r="D199" i="13"/>
  <c r="D195" i="13"/>
  <c r="D194" i="13"/>
  <c r="D189" i="13"/>
  <c r="D191" i="13"/>
  <c r="D67" i="13"/>
  <c r="E64" i="13"/>
  <c r="E190" i="13"/>
  <c r="E172" i="13"/>
  <c r="E179" i="13" s="1"/>
  <c r="E192" i="13"/>
  <c r="E203" i="13" s="1"/>
  <c r="E194" i="13"/>
  <c r="E197" i="13"/>
  <c r="G113" i="13"/>
  <c r="E196" i="13"/>
  <c r="F146" i="13"/>
  <c r="F158" i="13" s="1"/>
  <c r="F197" i="13" s="1"/>
  <c r="D172" i="13"/>
  <c r="D179" i="13" s="1"/>
  <c r="D166" i="13"/>
  <c r="D190" i="13"/>
  <c r="D64" i="13"/>
  <c r="D193" i="13"/>
  <c r="D200" i="13"/>
  <c r="D198" i="13"/>
  <c r="D201" i="13"/>
  <c r="F198" i="13"/>
  <c r="F196" i="13"/>
  <c r="F192" i="13"/>
  <c r="E184" i="13"/>
  <c r="E168" i="13"/>
  <c r="G76" i="13"/>
  <c r="G139" i="13"/>
  <c r="G138" i="13"/>
  <c r="G137" i="13"/>
  <c r="G82" i="13"/>
  <c r="F201" i="13"/>
  <c r="C197" i="13"/>
  <c r="C199" i="13"/>
  <c r="C67" i="13"/>
  <c r="C198" i="13"/>
  <c r="C194" i="13"/>
  <c r="C195" i="13"/>
  <c r="C172" i="13"/>
  <c r="C179" i="13" s="1"/>
  <c r="C166" i="13"/>
  <c r="C193" i="13"/>
  <c r="C191" i="13"/>
  <c r="C196" i="13"/>
  <c r="C200" i="13"/>
  <c r="C201" i="13"/>
  <c r="C189" i="13"/>
  <c r="C192" i="13"/>
  <c r="C190" i="13"/>
  <c r="F194" i="13" l="1"/>
  <c r="F200" i="13"/>
  <c r="F172" i="13"/>
  <c r="F179" i="13" s="1"/>
  <c r="F166" i="13"/>
  <c r="F184" i="13" s="1"/>
  <c r="F193" i="13"/>
  <c r="F190" i="13"/>
  <c r="F64" i="13"/>
  <c r="F191" i="13"/>
  <c r="F67" i="13"/>
  <c r="F195" i="13"/>
  <c r="F189" i="13"/>
  <c r="F199" i="13"/>
  <c r="D203" i="13"/>
  <c r="D168" i="13"/>
  <c r="D184" i="13"/>
  <c r="C203" i="13"/>
  <c r="C168" i="13"/>
  <c r="C184" i="13"/>
  <c r="C185" i="13" s="1"/>
  <c r="G146" i="13"/>
  <c r="G158" i="13" s="1"/>
  <c r="G192" i="13" s="1"/>
  <c r="F203" i="13" l="1"/>
  <c r="F168" i="13"/>
  <c r="G172" i="13"/>
  <c r="G179" i="13" s="1"/>
  <c r="C186" i="13"/>
  <c r="D182" i="13"/>
  <c r="D185" i="13" s="1"/>
  <c r="G197" i="13"/>
  <c r="G67" i="13"/>
  <c r="G198" i="13"/>
  <c r="G200" i="13"/>
  <c r="G193" i="13"/>
  <c r="G191" i="13"/>
  <c r="G196" i="13"/>
  <c r="G199" i="13"/>
  <c r="G194" i="13"/>
  <c r="G189" i="13"/>
  <c r="G64" i="13"/>
  <c r="G190" i="13"/>
  <c r="G195" i="13"/>
  <c r="G201" i="13"/>
  <c r="G166" i="13"/>
  <c r="G203" i="13" l="1"/>
  <c r="D186" i="13"/>
  <c r="E182" i="13"/>
  <c r="E185" i="13" s="1"/>
  <c r="G168" i="13"/>
  <c r="G184" i="13"/>
  <c r="F182" i="13" l="1"/>
  <c r="F185" i="13" s="1"/>
  <c r="E186" i="13"/>
  <c r="G182" i="13" l="1"/>
  <c r="G185" i="13" s="1"/>
  <c r="G186" i="13" s="1"/>
  <c r="F186" i="13"/>
  <c r="C127" i="8" l="1"/>
  <c r="D127" i="8" s="1"/>
  <c r="F127" i="8" s="1"/>
  <c r="C135" i="8"/>
  <c r="D135" i="8" s="1"/>
  <c r="C131" i="8"/>
  <c r="D131" i="8" s="1"/>
  <c r="G152" i="8"/>
  <c r="I13" i="16" s="1"/>
  <c r="E152" i="8"/>
  <c r="G13" i="16" s="1"/>
  <c r="D152" i="8"/>
  <c r="F13" i="16" s="1"/>
  <c r="C152" i="8"/>
  <c r="E13" i="16" s="1"/>
  <c r="E150" i="8"/>
  <c r="G11" i="16" s="1"/>
  <c r="C150" i="8"/>
  <c r="E11" i="16" s="1"/>
  <c r="C148" i="8"/>
  <c r="B155" i="8"/>
  <c r="B154" i="8"/>
  <c r="B153" i="8"/>
  <c r="B152" i="8"/>
  <c r="D13" i="16" s="1"/>
  <c r="B150" i="8"/>
  <c r="D11" i="16" s="1"/>
  <c r="C141" i="8"/>
  <c r="D141" i="8" s="1"/>
  <c r="E141" i="8" s="1"/>
  <c r="F141" i="8" s="1"/>
  <c r="G141" i="8" s="1"/>
  <c r="C143" i="8"/>
  <c r="C144" i="8"/>
  <c r="D144" i="8" s="1"/>
  <c r="D14" i="16" l="1"/>
  <c r="C153" i="8"/>
  <c r="D148" i="8"/>
  <c r="F9" i="16" s="1"/>
  <c r="E9" i="16"/>
  <c r="D15" i="16"/>
  <c r="C154" i="8"/>
  <c r="D16" i="16"/>
  <c r="C155" i="8"/>
  <c r="E8" i="16"/>
  <c r="D143" i="8"/>
  <c r="F135" i="8"/>
  <c r="E135" i="8"/>
  <c r="G135" i="8" s="1"/>
  <c r="F148" i="8"/>
  <c r="H9" i="16" s="1"/>
  <c r="E148" i="8"/>
  <c r="E144" i="8"/>
  <c r="G144" i="8" s="1"/>
  <c r="F144" i="8"/>
  <c r="E131" i="8"/>
  <c r="G131" i="8" s="1"/>
  <c r="F131" i="8"/>
  <c r="E127" i="8"/>
  <c r="G127" i="8" s="1"/>
  <c r="D89" i="8"/>
  <c r="E89" i="8" s="1"/>
  <c r="F89" i="8" s="1"/>
  <c r="G89" i="8" s="1"/>
  <c r="E96" i="8"/>
  <c r="E94" i="8"/>
  <c r="D96" i="8"/>
  <c r="D95" i="8"/>
  <c r="D94" i="8"/>
  <c r="C96" i="8"/>
  <c r="C94" i="8"/>
  <c r="C93" i="8"/>
  <c r="D93" i="8" s="1"/>
  <c r="E93" i="8" s="1"/>
  <c r="F93" i="8" s="1"/>
  <c r="G93" i="8" s="1"/>
  <c r="B92" i="8"/>
  <c r="B86" i="8"/>
  <c r="C86" i="8" s="1"/>
  <c r="D86" i="8" s="1"/>
  <c r="E86" i="8" s="1"/>
  <c r="F86" i="8" s="1"/>
  <c r="G86" i="8" s="1"/>
  <c r="J4" i="8"/>
  <c r="K4" i="8"/>
  <c r="L4" i="8"/>
  <c r="J5" i="8"/>
  <c r="K5" i="8"/>
  <c r="L5" i="8"/>
  <c r="J6" i="8"/>
  <c r="K6" i="8"/>
  <c r="L6" i="8"/>
  <c r="J7" i="8"/>
  <c r="K7" i="8"/>
  <c r="L7" i="8"/>
  <c r="J8" i="8"/>
  <c r="K8" i="8"/>
  <c r="L8" i="8"/>
  <c r="J9" i="8"/>
  <c r="K9" i="8"/>
  <c r="L9" i="8"/>
  <c r="J10" i="8"/>
  <c r="K10" i="8"/>
  <c r="L10" i="8"/>
  <c r="J11" i="8"/>
  <c r="K11" i="8"/>
  <c r="L11" i="8"/>
  <c r="J12" i="8"/>
  <c r="K12" i="8"/>
  <c r="L12" i="8"/>
  <c r="I11" i="8"/>
  <c r="I12" i="8"/>
  <c r="I10" i="8"/>
  <c r="I5" i="8"/>
  <c r="C26" i="8"/>
  <c r="E16" i="15" s="1"/>
  <c r="L25" i="15" s="1"/>
  <c r="D26" i="8"/>
  <c r="F16" i="15" s="1"/>
  <c r="M25" i="15" s="1"/>
  <c r="E26" i="8"/>
  <c r="G16" i="15" s="1"/>
  <c r="N25" i="15" s="1"/>
  <c r="G26" i="8"/>
  <c r="B26" i="8"/>
  <c r="D16" i="15" s="1"/>
  <c r="E16" i="16" l="1"/>
  <c r="D155" i="8"/>
  <c r="G148" i="8"/>
  <c r="I9" i="16" s="1"/>
  <c r="G9" i="16"/>
  <c r="E15" i="16"/>
  <c r="D154" i="8"/>
  <c r="K25" i="15"/>
  <c r="E143" i="8"/>
  <c r="F8" i="16"/>
  <c r="E14" i="16"/>
  <c r="D153" i="8"/>
  <c r="N18" i="8"/>
  <c r="I16" i="15"/>
  <c r="P25" i="15" s="1"/>
  <c r="G174" i="8"/>
  <c r="B174" i="8"/>
  <c r="C174" i="8"/>
  <c r="D174" i="8"/>
  <c r="E174" i="8"/>
  <c r="F15" i="16" l="1"/>
  <c r="E154" i="8"/>
  <c r="F16" i="16"/>
  <c r="E155" i="8"/>
  <c r="F14" i="16"/>
  <c r="E153" i="8"/>
  <c r="F143" i="8"/>
  <c r="G8" i="16"/>
  <c r="C88" i="8"/>
  <c r="D88" i="8" s="1"/>
  <c r="E88" i="8" s="1"/>
  <c r="F88" i="8" s="1"/>
  <c r="G88" i="8" s="1"/>
  <c r="C149" i="8"/>
  <c r="C101" i="8"/>
  <c r="D101" i="8" s="1"/>
  <c r="C102" i="8"/>
  <c r="D102" i="8" s="1"/>
  <c r="C103" i="8"/>
  <c r="D103" i="8" s="1"/>
  <c r="C104" i="8"/>
  <c r="D104" i="8" s="1"/>
  <c r="C105" i="8"/>
  <c r="D105" i="8" s="1"/>
  <c r="C100" i="8"/>
  <c r="D100" i="8" s="1"/>
  <c r="D90" i="8"/>
  <c r="E90" i="8" s="1"/>
  <c r="F90" i="8" s="1"/>
  <c r="G90" i="8" s="1"/>
  <c r="E87" i="8"/>
  <c r="F87" i="8" s="1"/>
  <c r="G87" i="8" s="1"/>
  <c r="B81" i="8"/>
  <c r="C81" i="8"/>
  <c r="D81" i="8"/>
  <c r="E81" i="8"/>
  <c r="G81" i="8"/>
  <c r="G16" i="16" l="1"/>
  <c r="F155" i="8"/>
  <c r="G14" i="16"/>
  <c r="F153" i="8"/>
  <c r="G143" i="8"/>
  <c r="I8" i="16" s="1"/>
  <c r="H8" i="16"/>
  <c r="D149" i="8"/>
  <c r="E10" i="16"/>
  <c r="G15" i="16"/>
  <c r="F154" i="8"/>
  <c r="E100" i="8"/>
  <c r="G100" i="8" s="1"/>
  <c r="F100" i="8"/>
  <c r="E105" i="8"/>
  <c r="G105" i="8" s="1"/>
  <c r="F105" i="8"/>
  <c r="E101" i="8"/>
  <c r="G101" i="8" s="1"/>
  <c r="F101" i="8"/>
  <c r="E102" i="8"/>
  <c r="G102" i="8" s="1"/>
  <c r="F102" i="8"/>
  <c r="E104" i="8"/>
  <c r="G104" i="8" s="1"/>
  <c r="F104" i="8"/>
  <c r="I9" i="8"/>
  <c r="I6" i="8"/>
  <c r="I7" i="8"/>
  <c r="I8" i="8"/>
  <c r="I4" i="8"/>
  <c r="F10" i="16" l="1"/>
  <c r="E149" i="8"/>
  <c r="H14" i="16"/>
  <c r="G153" i="8"/>
  <c r="I14" i="16" s="1"/>
  <c r="H15" i="16"/>
  <c r="G154" i="8"/>
  <c r="I15" i="16" s="1"/>
  <c r="H16" i="16"/>
  <c r="G155" i="8"/>
  <c r="I16" i="16" s="1"/>
  <c r="F97" i="8"/>
  <c r="G3" i="8"/>
  <c r="E3" i="8"/>
  <c r="C3" i="8"/>
  <c r="B3" i="8"/>
  <c r="B71" i="8" s="1"/>
  <c r="C2" i="8"/>
  <c r="D2" i="8" l="1"/>
  <c r="C71" i="8"/>
  <c r="E3" i="14"/>
  <c r="E7" i="15"/>
  <c r="G3" i="14"/>
  <c r="G7" i="15"/>
  <c r="F149" i="8"/>
  <c r="G10" i="16"/>
  <c r="D3" i="14"/>
  <c r="D4" i="14" s="1"/>
  <c r="D7" i="15"/>
  <c r="I3" i="14"/>
  <c r="I4" i="14" s="1"/>
  <c r="I7" i="15"/>
  <c r="F107" i="8"/>
  <c r="F66" i="8" s="1"/>
  <c r="H4" i="14"/>
  <c r="D3" i="8"/>
  <c r="F7" i="15" s="1"/>
  <c r="B77" i="8"/>
  <c r="B137" i="8" s="1"/>
  <c r="C77" i="8"/>
  <c r="C137" i="8" s="1"/>
  <c r="E2" i="8" l="1"/>
  <c r="D71" i="8"/>
  <c r="G149" i="8"/>
  <c r="I10" i="16" s="1"/>
  <c r="H10" i="16"/>
  <c r="F156" i="8"/>
  <c r="E4" i="14"/>
  <c r="H24" i="15"/>
  <c r="H33" i="15" s="1"/>
  <c r="H35" i="15" s="1"/>
  <c r="F65" i="8"/>
  <c r="F108" i="8"/>
  <c r="F109" i="8"/>
  <c r="F3" i="14"/>
  <c r="D77" i="8"/>
  <c r="D137" i="8" s="1"/>
  <c r="B138" i="8"/>
  <c r="B139" i="8"/>
  <c r="C139" i="8"/>
  <c r="C138" i="8"/>
  <c r="F2" i="8" l="1"/>
  <c r="E71" i="8"/>
  <c r="E77" i="8"/>
  <c r="F113" i="8"/>
  <c r="H37" i="15"/>
  <c r="F4" i="14"/>
  <c r="G4" i="14"/>
  <c r="D139" i="8"/>
  <c r="D138" i="8"/>
  <c r="E137" i="8" l="1"/>
  <c r="E139" i="8"/>
  <c r="E138" i="8"/>
  <c r="F71" i="8"/>
  <c r="F77" i="8"/>
  <c r="G2" i="8"/>
  <c r="A169" i="8"/>
  <c r="B169" i="8"/>
  <c r="C169" i="8"/>
  <c r="D169" i="8"/>
  <c r="E169" i="8"/>
  <c r="G169" i="8"/>
  <c r="I16" i="8"/>
  <c r="J16" i="8"/>
  <c r="K16" i="8"/>
  <c r="L16" i="8"/>
  <c r="I13" i="8"/>
  <c r="J13" i="8"/>
  <c r="K13" i="8"/>
  <c r="L13" i="8"/>
  <c r="I14" i="8"/>
  <c r="J14" i="8"/>
  <c r="K14" i="8"/>
  <c r="L14" i="8"/>
  <c r="I15" i="8"/>
  <c r="J15" i="8"/>
  <c r="K15" i="8"/>
  <c r="L15" i="8"/>
  <c r="E147" i="8"/>
  <c r="E114" i="8"/>
  <c r="E85" i="8"/>
  <c r="E38" i="8"/>
  <c r="E25" i="8"/>
  <c r="E19" i="8"/>
  <c r="D147" i="8"/>
  <c r="D114" i="8"/>
  <c r="D85" i="8"/>
  <c r="D38" i="8"/>
  <c r="D25" i="8"/>
  <c r="D19" i="8"/>
  <c r="G77" i="8" l="1"/>
  <c r="G71" i="8"/>
  <c r="F137" i="8"/>
  <c r="F139" i="8"/>
  <c r="F138" i="8"/>
  <c r="S10" i="8"/>
  <c r="R10" i="8"/>
  <c r="P10" i="8"/>
  <c r="Q10" i="8"/>
  <c r="D176" i="8"/>
  <c r="E176" i="8"/>
  <c r="L17" i="8"/>
  <c r="L18" i="8" s="1"/>
  <c r="E58" i="8"/>
  <c r="E61" i="8" s="1"/>
  <c r="I17" i="8"/>
  <c r="D36" i="8"/>
  <c r="E36" i="8"/>
  <c r="D58" i="8"/>
  <c r="D61" i="8" s="1"/>
  <c r="E17" i="8"/>
  <c r="E72" i="8" s="1"/>
  <c r="J17" i="8"/>
  <c r="J18" i="8" s="1"/>
  <c r="M17" i="8"/>
  <c r="K17" i="8"/>
  <c r="K18" i="8" s="1"/>
  <c r="D17" i="8"/>
  <c r="D20" i="8" l="1"/>
  <c r="D72" i="8"/>
  <c r="E124" i="8"/>
  <c r="E78" i="8"/>
  <c r="G137" i="8"/>
  <c r="G139" i="8"/>
  <c r="G138" i="8"/>
  <c r="E20" i="8"/>
  <c r="E128" i="8"/>
  <c r="Q8" i="8"/>
  <c r="E112" i="8"/>
  <c r="L36" i="8"/>
  <c r="E91" i="8"/>
  <c r="D112" i="8"/>
  <c r="K36" i="8"/>
  <c r="D91" i="8"/>
  <c r="M18" i="8"/>
  <c r="T8" i="8"/>
  <c r="R8" i="8"/>
  <c r="S8" i="8"/>
  <c r="I18" i="8"/>
  <c r="P8" i="8"/>
  <c r="E126" i="8"/>
  <c r="D126" i="8"/>
  <c r="E60" i="8"/>
  <c r="E62" i="8" s="1"/>
  <c r="E129" i="8" s="1"/>
  <c r="D60" i="8"/>
  <c r="D62" i="8" s="1"/>
  <c r="D129" i="8" s="1"/>
  <c r="E115" i="8"/>
  <c r="E120" i="8"/>
  <c r="E118" i="8"/>
  <c r="E151" i="8"/>
  <c r="G12" i="16" s="1"/>
  <c r="E132" i="8"/>
  <c r="E117" i="8"/>
  <c r="E119" i="8"/>
  <c r="D132" i="8"/>
  <c r="D117" i="8"/>
  <c r="D151" i="8"/>
  <c r="F12" i="16" s="1"/>
  <c r="D120" i="8"/>
  <c r="D118" i="8"/>
  <c r="D119" i="8"/>
  <c r="D128" i="8"/>
  <c r="D115" i="8"/>
  <c r="D124" i="8" l="1"/>
  <c r="D78" i="8"/>
  <c r="E142" i="8"/>
  <c r="G29" i="15"/>
  <c r="D142" i="8"/>
  <c r="F29" i="15"/>
  <c r="C176" i="8"/>
  <c r="B176" i="8"/>
  <c r="G176" i="8"/>
  <c r="G147" i="8"/>
  <c r="C147" i="8"/>
  <c r="B147" i="8"/>
  <c r="G114" i="8"/>
  <c r="C114" i="8"/>
  <c r="B114" i="8"/>
  <c r="G85" i="8"/>
  <c r="C85" i="8"/>
  <c r="B85" i="8"/>
  <c r="C58" i="8"/>
  <c r="C61" i="8" s="1"/>
  <c r="B58" i="8"/>
  <c r="B61" i="8" s="1"/>
  <c r="G58" i="8"/>
  <c r="G61" i="8" s="1"/>
  <c r="G38" i="8"/>
  <c r="C38" i="8"/>
  <c r="B38" i="8"/>
  <c r="G25" i="8"/>
  <c r="C25" i="8"/>
  <c r="B25" i="8"/>
  <c r="G19" i="8"/>
  <c r="C19" i="8"/>
  <c r="B19" i="8"/>
  <c r="C17" i="8"/>
  <c r="C20" i="8" l="1"/>
  <c r="C72" i="8"/>
  <c r="D74" i="8"/>
  <c r="D73" i="8"/>
  <c r="C126" i="8"/>
  <c r="C118" i="8"/>
  <c r="C128" i="8"/>
  <c r="C151" i="8"/>
  <c r="E12" i="16" s="1"/>
  <c r="C119" i="8"/>
  <c r="C115" i="8"/>
  <c r="C120" i="8"/>
  <c r="C132" i="8"/>
  <c r="C117" i="8"/>
  <c r="G36" i="8"/>
  <c r="G17" i="8"/>
  <c r="G72" i="8" s="1"/>
  <c r="C36" i="8"/>
  <c r="G177" i="8"/>
  <c r="E177" i="8"/>
  <c r="D177" i="8"/>
  <c r="C177" i="8"/>
  <c r="C124" i="8" l="1"/>
  <c r="C78" i="8"/>
  <c r="G124" i="8"/>
  <c r="G78" i="8"/>
  <c r="G126" i="8"/>
  <c r="G20" i="8"/>
  <c r="G128" i="8"/>
  <c r="G112" i="8"/>
  <c r="N36" i="8"/>
  <c r="G91" i="8"/>
  <c r="C112" i="8"/>
  <c r="J36" i="8"/>
  <c r="C91" i="8"/>
  <c r="G60" i="8"/>
  <c r="G62" i="8" s="1"/>
  <c r="G129" i="8" s="1"/>
  <c r="G151" i="8"/>
  <c r="I12" i="16" s="1"/>
  <c r="G119" i="8"/>
  <c r="G115" i="8"/>
  <c r="G120" i="8"/>
  <c r="G132" i="8"/>
  <c r="G117" i="8"/>
  <c r="G118" i="8"/>
  <c r="C60" i="8"/>
  <c r="C156" i="8"/>
  <c r="G142" i="8" l="1"/>
  <c r="I29" i="15"/>
  <c r="G156" i="8"/>
  <c r="E156" i="8"/>
  <c r="D156" i="8"/>
  <c r="C62" i="8"/>
  <c r="C129" i="8" l="1"/>
  <c r="C142" i="8"/>
  <c r="E29" i="15"/>
  <c r="B177" i="8"/>
  <c r="B36" i="8" l="1"/>
  <c r="B112" i="8" l="1"/>
  <c r="I36" i="8"/>
  <c r="B91" i="8"/>
  <c r="B60" i="8"/>
  <c r="B62" i="8" s="1"/>
  <c r="B129" i="8" l="1"/>
  <c r="B142" i="8"/>
  <c r="D29" i="15"/>
  <c r="C97" i="8"/>
  <c r="C107" i="8" s="1"/>
  <c r="E24" i="15" l="1"/>
  <c r="E33" i="15" s="1"/>
  <c r="E35" i="15" s="1"/>
  <c r="C109" i="8"/>
  <c r="C108" i="8"/>
  <c r="D97" i="8"/>
  <c r="D107" i="8" s="1"/>
  <c r="C65" i="8"/>
  <c r="C66" i="8"/>
  <c r="E37" i="15" l="1"/>
  <c r="F24" i="15"/>
  <c r="F33" i="15" s="1"/>
  <c r="F35" i="15" s="1"/>
  <c r="D109" i="8"/>
  <c r="D108" i="8"/>
  <c r="D66" i="8"/>
  <c r="C113" i="8"/>
  <c r="D65" i="8"/>
  <c r="E97" i="8"/>
  <c r="E107" i="8" s="1"/>
  <c r="G24" i="15" l="1"/>
  <c r="G33" i="15" s="1"/>
  <c r="G35" i="15" s="1"/>
  <c r="F37" i="15"/>
  <c r="E109" i="8"/>
  <c r="E108" i="8"/>
  <c r="E65" i="8"/>
  <c r="E66" i="8"/>
  <c r="G97" i="8"/>
  <c r="G107" i="8" s="1"/>
  <c r="D113" i="8"/>
  <c r="G37" i="15" l="1"/>
  <c r="I24" i="15"/>
  <c r="I33" i="15" s="1"/>
  <c r="I35" i="15" s="1"/>
  <c r="G109" i="8"/>
  <c r="G108" i="8"/>
  <c r="E113" i="8"/>
  <c r="G65" i="8"/>
  <c r="G66" i="8"/>
  <c r="I37" i="15" l="1"/>
  <c r="G113" i="8"/>
  <c r="B17" i="8" l="1"/>
  <c r="B20" i="8" l="1"/>
  <c r="I72" i="8"/>
  <c r="I73" i="8" s="1"/>
  <c r="I74" i="8" s="1"/>
  <c r="B72" i="8"/>
  <c r="C74" i="8"/>
  <c r="C73" i="8"/>
  <c r="B151" i="8"/>
  <c r="B126" i="8"/>
  <c r="B115" i="8"/>
  <c r="B119" i="8"/>
  <c r="B132" i="8"/>
  <c r="B118" i="8"/>
  <c r="B128" i="8"/>
  <c r="B120" i="8"/>
  <c r="B117" i="8"/>
  <c r="B97" i="8"/>
  <c r="B107" i="8" s="1"/>
  <c r="D24" i="15" s="1"/>
  <c r="D33" i="15" s="1"/>
  <c r="D35" i="15" s="1"/>
  <c r="B124" i="8" l="1"/>
  <c r="B78" i="8"/>
  <c r="B156" i="8"/>
  <c r="D12" i="16"/>
  <c r="B109" i="8"/>
  <c r="B108" i="8"/>
  <c r="D37" i="15" s="1"/>
  <c r="B121" i="8"/>
  <c r="B80" i="8"/>
  <c r="B66" i="8"/>
  <c r="B65" i="8"/>
  <c r="B79" i="8" l="1"/>
  <c r="B82" i="8" s="1"/>
  <c r="B76" i="8"/>
  <c r="C80" i="8"/>
  <c r="C121" i="8"/>
  <c r="B113" i="8"/>
  <c r="B146" i="8"/>
  <c r="E74" i="8" l="1"/>
  <c r="E73" i="8"/>
  <c r="F121" i="8"/>
  <c r="D121" i="8"/>
  <c r="D80" i="8"/>
  <c r="C79" i="8"/>
  <c r="C82" i="8" s="1"/>
  <c r="C76" i="8"/>
  <c r="C146" i="8"/>
  <c r="C158" i="8" s="1"/>
  <c r="B158" i="8"/>
  <c r="B166" i="8" s="1"/>
  <c r="C166" i="8" l="1"/>
  <c r="F74" i="8"/>
  <c r="F80" i="8" s="1"/>
  <c r="F73" i="8"/>
  <c r="G74" i="8"/>
  <c r="G73" i="8"/>
  <c r="B201" i="8"/>
  <c r="B200" i="8"/>
  <c r="C193" i="8"/>
  <c r="C197" i="8"/>
  <c r="C201" i="8"/>
  <c r="C192" i="8"/>
  <c r="C200" i="8"/>
  <c r="C194" i="8"/>
  <c r="C198" i="8"/>
  <c r="C196" i="8"/>
  <c r="C191" i="8"/>
  <c r="C195" i="8"/>
  <c r="C199" i="8"/>
  <c r="C189" i="8"/>
  <c r="C190" i="8"/>
  <c r="F146" i="8"/>
  <c r="F158" i="8" s="1"/>
  <c r="F79" i="8"/>
  <c r="F82" i="8" s="1"/>
  <c r="F76" i="8"/>
  <c r="B197" i="8"/>
  <c r="B64" i="8"/>
  <c r="B184" i="8"/>
  <c r="C172" i="8"/>
  <c r="C179" i="8" s="1"/>
  <c r="D79" i="8"/>
  <c r="D82" i="8" s="1"/>
  <c r="D76" i="8"/>
  <c r="D146" i="8"/>
  <c r="D158" i="8" s="1"/>
  <c r="E80" i="8"/>
  <c r="E121" i="8"/>
  <c r="C64" i="8"/>
  <c r="C67" i="8"/>
  <c r="B190" i="8"/>
  <c r="B199" i="8"/>
  <c r="B189" i="8"/>
  <c r="B172" i="8"/>
  <c r="B179" i="8" s="1"/>
  <c r="B192" i="8"/>
  <c r="B67" i="8"/>
  <c r="B195" i="8"/>
  <c r="B194" i="8"/>
  <c r="B196" i="8"/>
  <c r="B191" i="8"/>
  <c r="B193" i="8"/>
  <c r="B198" i="8"/>
  <c r="D166" i="8" l="1"/>
  <c r="F166" i="8"/>
  <c r="D192" i="8"/>
  <c r="D196" i="8"/>
  <c r="D200" i="8"/>
  <c r="D193" i="8"/>
  <c r="D197" i="8"/>
  <c r="D201" i="8"/>
  <c r="D191" i="8"/>
  <c r="D199" i="8"/>
  <c r="D194" i="8"/>
  <c r="D198" i="8"/>
  <c r="D195" i="8"/>
  <c r="D189" i="8"/>
  <c r="D190" i="8"/>
  <c r="F194" i="8"/>
  <c r="F198" i="8"/>
  <c r="F191" i="8"/>
  <c r="F195" i="8"/>
  <c r="F199" i="8"/>
  <c r="F193" i="8"/>
  <c r="F201" i="8"/>
  <c r="F192" i="8"/>
  <c r="F196" i="8"/>
  <c r="F200" i="8"/>
  <c r="F197" i="8"/>
  <c r="F189" i="8"/>
  <c r="F190" i="8"/>
  <c r="F172" i="8"/>
  <c r="F179" i="8" s="1"/>
  <c r="F67" i="8"/>
  <c r="F64" i="8"/>
  <c r="C168" i="8"/>
  <c r="C184" i="8"/>
  <c r="B203" i="8"/>
  <c r="C203" i="8"/>
  <c r="E79" i="8"/>
  <c r="E82" i="8" s="1"/>
  <c r="E76" i="8"/>
  <c r="D67" i="8"/>
  <c r="D64" i="8"/>
  <c r="E146" i="8"/>
  <c r="E158" i="8" s="1"/>
  <c r="D172" i="8"/>
  <c r="D179" i="8" s="1"/>
  <c r="G121" i="8"/>
  <c r="G80" i="8"/>
  <c r="B185" i="8"/>
  <c r="B168" i="8"/>
  <c r="E166" i="8" l="1"/>
  <c r="E191" i="8"/>
  <c r="E195" i="8"/>
  <c r="E199" i="8"/>
  <c r="E194" i="8"/>
  <c r="E192" i="8"/>
  <c r="E196" i="8"/>
  <c r="E200" i="8"/>
  <c r="E193" i="8"/>
  <c r="E197" i="8"/>
  <c r="E201" i="8"/>
  <c r="E198" i="8"/>
  <c r="E189" i="8"/>
  <c r="E190" i="8"/>
  <c r="F203" i="8"/>
  <c r="F184" i="8"/>
  <c r="F168" i="8"/>
  <c r="D168" i="8"/>
  <c r="D184" i="8"/>
  <c r="B186" i="8"/>
  <c r="C182" i="8"/>
  <c r="G79" i="8"/>
  <c r="G82" i="8" s="1"/>
  <c r="G76" i="8"/>
  <c r="E67" i="8"/>
  <c r="E64" i="8"/>
  <c r="E172" i="8"/>
  <c r="E179" i="8" s="1"/>
  <c r="G146" i="8"/>
  <c r="G158" i="8" s="1"/>
  <c r="D203" i="8"/>
  <c r="G166" i="8" l="1"/>
  <c r="G193" i="8"/>
  <c r="I193" i="8" s="1"/>
  <c r="G197" i="8"/>
  <c r="I197" i="8" s="1"/>
  <c r="G201" i="8"/>
  <c r="I201" i="8" s="1"/>
  <c r="G196" i="8"/>
  <c r="I196" i="8" s="1"/>
  <c r="G194" i="8"/>
  <c r="I194" i="8" s="1"/>
  <c r="G198" i="8"/>
  <c r="I198" i="8" s="1"/>
  <c r="G191" i="8"/>
  <c r="I191" i="8" s="1"/>
  <c r="G195" i="8"/>
  <c r="I195" i="8" s="1"/>
  <c r="G199" i="8"/>
  <c r="I199" i="8" s="1"/>
  <c r="G192" i="8"/>
  <c r="I192" i="8" s="1"/>
  <c r="G200" i="8"/>
  <c r="I200" i="8" s="1"/>
  <c r="G189" i="8"/>
  <c r="I189" i="8" s="1"/>
  <c r="G190" i="8"/>
  <c r="I190" i="8" s="1"/>
  <c r="E168" i="8"/>
  <c r="E184" i="8"/>
  <c r="E203" i="8"/>
  <c r="G64" i="8"/>
  <c r="G67" i="8"/>
  <c r="G172" i="8"/>
  <c r="G179" i="8" s="1"/>
  <c r="C185" i="8"/>
  <c r="I203" i="8" l="1"/>
  <c r="G168" i="8"/>
  <c r="G184" i="8"/>
  <c r="C186" i="8"/>
  <c r="D182" i="8"/>
  <c r="G203" i="8"/>
  <c r="D185" i="8" l="1"/>
  <c r="F182" i="8" s="1"/>
  <c r="F185" i="8" s="1"/>
  <c r="F186" i="8" s="1"/>
  <c r="D186" i="8" l="1"/>
  <c r="E182" i="8"/>
  <c r="E185" i="8" s="1"/>
  <c r="E186" i="8" l="1"/>
  <c r="G182" i="8"/>
  <c r="G185" i="8" s="1"/>
  <c r="G18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Padron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50,000 minimum to be conservative</t>
        </r>
      </text>
    </comment>
    <comment ref="I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50,000 minimum to be conservative</t>
        </r>
      </text>
    </comment>
  </commentList>
</comments>
</file>

<file path=xl/sharedStrings.xml><?xml version="1.0" encoding="utf-8"?>
<sst xmlns="http://schemas.openxmlformats.org/spreadsheetml/2006/main" count="501" uniqueCount="256">
  <si>
    <t>Surplus (Revenues-Total Expenses-Lease-Bond)</t>
  </si>
  <si>
    <t>Rent Reimbursed by Pre-K</t>
  </si>
  <si>
    <t>Scheduled Bond Payment</t>
  </si>
  <si>
    <t>Scheduled Lease Payment</t>
  </si>
  <si>
    <t>Total Expenses</t>
  </si>
  <si>
    <t>Total</t>
  </si>
  <si>
    <t>AC Maintenance &amp; Repair</t>
  </si>
  <si>
    <t>Lawn Care</t>
  </si>
  <si>
    <t>Facility Maintenance</t>
  </si>
  <si>
    <t>Custodial Supplies</t>
  </si>
  <si>
    <t>Contracted Janitorial</t>
  </si>
  <si>
    <t>Fire and Security alarms</t>
  </si>
  <si>
    <t>Public Utilities</t>
  </si>
  <si>
    <t>Facilities</t>
  </si>
  <si>
    <t>Other Purchases</t>
  </si>
  <si>
    <t xml:space="preserve">Facility and School Insurances  </t>
  </si>
  <si>
    <t>Background and Fingerprinting</t>
  </si>
  <si>
    <t>Postage</t>
  </si>
  <si>
    <t>Phone and Communications (with E-rate discount)</t>
  </si>
  <si>
    <t>Affiliation Fee - Professional Development (1/2 of 1%)</t>
  </si>
  <si>
    <t>Affiliation Fee - Inc. (1/2 of 1%)</t>
  </si>
  <si>
    <t>State Administrative Fee (2%)</t>
  </si>
  <si>
    <t>Infinite Campus</t>
  </si>
  <si>
    <t>Copier / Printing</t>
  </si>
  <si>
    <t>Website</t>
  </si>
  <si>
    <t>IT Set-up Fees</t>
  </si>
  <si>
    <t>IT Services - Monthly</t>
  </si>
  <si>
    <t>Legal Fees</t>
  </si>
  <si>
    <t>Audit/Tax</t>
  </si>
  <si>
    <t>Payroll Services</t>
  </si>
  <si>
    <t>Management Fee</t>
  </si>
  <si>
    <t>Contracted Data Services</t>
  </si>
  <si>
    <t>Special Education Contracted Services</t>
  </si>
  <si>
    <t>Travel Reimbursement</t>
  </si>
  <si>
    <t>Lunch Program</t>
  </si>
  <si>
    <t>Dues and Fees</t>
  </si>
  <si>
    <t>Athletics</t>
  </si>
  <si>
    <t>SPED Supplies</t>
  </si>
  <si>
    <t>Nursing Supplies</t>
  </si>
  <si>
    <t>Copier Supplies</t>
  </si>
  <si>
    <t>Classroom Supplies</t>
  </si>
  <si>
    <t>Office Supplies</t>
  </si>
  <si>
    <t>Zion's FFE Lease - payments</t>
  </si>
  <si>
    <t xml:space="preserve">Consumables </t>
  </si>
  <si>
    <t>Operations</t>
  </si>
  <si>
    <t>Total Payroll / Benefits and Related</t>
  </si>
  <si>
    <t>Subst. Teachers (10 days/Teacher)</t>
  </si>
  <si>
    <t>Tuition Reimbursements</t>
  </si>
  <si>
    <t>Incentives / Bonuses</t>
  </si>
  <si>
    <t>PERS  - 29.5%</t>
  </si>
  <si>
    <t>Total Salaries and Wages</t>
  </si>
  <si>
    <t>On Campus Sub</t>
  </si>
  <si>
    <t>NSLP Manager</t>
  </si>
  <si>
    <t>Cafeteria Manager</t>
  </si>
  <si>
    <t>School Nurse</t>
  </si>
  <si>
    <t>School Psychologist</t>
  </si>
  <si>
    <t>Speech Pathologist</t>
  </si>
  <si>
    <t>SPED Facilitator</t>
  </si>
  <si>
    <t>Restricted Salaries</t>
  </si>
  <si>
    <t xml:space="preserve">Unrestricted Salaries </t>
  </si>
  <si>
    <t>Campus Monitors</t>
  </si>
  <si>
    <t>Teacher Assistants (including SPED)</t>
  </si>
  <si>
    <t>Secretary &amp; FASA</t>
  </si>
  <si>
    <t>Office Manager/ Registrar / Banker</t>
  </si>
  <si>
    <t>SPED Teachers</t>
  </si>
  <si>
    <t xml:space="preserve">Teachers Salaries </t>
  </si>
  <si>
    <t>Counselor / Student Support Advocate/Dean</t>
  </si>
  <si>
    <t>Curriculum Coach</t>
  </si>
  <si>
    <t>Lead Teacher</t>
  </si>
  <si>
    <t>Assistant Principal(s)</t>
  </si>
  <si>
    <t>Principal</t>
  </si>
  <si>
    <t>Personnel Costs</t>
  </si>
  <si>
    <t>EXPENSES</t>
  </si>
  <si>
    <t>Total Actual Revenues:</t>
  </si>
  <si>
    <t>SPED Discretionary Unit</t>
  </si>
  <si>
    <t xml:space="preserve"> Special Ed Funding (Part B)</t>
  </si>
  <si>
    <t>Actual Revenue</t>
  </si>
  <si>
    <t xml:space="preserve">Total Revenues </t>
  </si>
  <si>
    <t>Special Ed Funding (Part B)</t>
  </si>
  <si>
    <t xml:space="preserve"> </t>
  </si>
  <si>
    <t xml:space="preserve"> Budget Revenue</t>
  </si>
  <si>
    <t>REVENUE (@ 95%)</t>
  </si>
  <si>
    <t>Rent as % of Expenses</t>
  </si>
  <si>
    <t>Admin &amp; Support Salaries as % of Total Salaries</t>
  </si>
  <si>
    <t>Instruction Salaries as % of Total Salaries</t>
  </si>
  <si>
    <t>Total Salaries &amp; Benefits as % of Expenses</t>
  </si>
  <si>
    <t>Total Staff</t>
  </si>
  <si>
    <t>Total # Admin &amp; Support</t>
  </si>
  <si>
    <t>Total # Teachers</t>
  </si>
  <si>
    <t xml:space="preserve">     Total Admin &amp; Support</t>
  </si>
  <si>
    <t>Gate Teacher</t>
  </si>
  <si>
    <t>Cafeterial Manager</t>
  </si>
  <si>
    <t>Campus Monitor/Custodian</t>
  </si>
  <si>
    <t>Receptionist</t>
  </si>
  <si>
    <t>Clinic Aide/ FASA</t>
  </si>
  <si>
    <t>Registrar</t>
  </si>
  <si>
    <t>Office Manager</t>
  </si>
  <si>
    <t>Counselor/ Student Support Advocate</t>
  </si>
  <si>
    <t>Lead Teacher(s)</t>
  </si>
  <si>
    <t>Assistant Principal</t>
  </si>
  <si>
    <t>Executive Director &amp; Assistant</t>
  </si>
  <si>
    <t>ADMIN &amp; SUPPORT</t>
  </si>
  <si>
    <t xml:space="preserve">     Total Teaching Staff</t>
  </si>
  <si>
    <t>Additional Elective Teachers</t>
  </si>
  <si>
    <t>Spanish / Language</t>
  </si>
  <si>
    <t>Additional Core</t>
  </si>
  <si>
    <t>Technology (STEM)</t>
  </si>
  <si>
    <t xml:space="preserve">Dance </t>
  </si>
  <si>
    <t>PE Teacher</t>
  </si>
  <si>
    <t>Music</t>
  </si>
  <si>
    <t>Art Teacher</t>
  </si>
  <si>
    <t>Classroom Teachers</t>
  </si>
  <si>
    <t>TEACHING STAFF</t>
  </si>
  <si>
    <t>FRL %</t>
  </si>
  <si>
    <t>Gate</t>
  </si>
  <si>
    <t>ELL</t>
  </si>
  <si>
    <t>SPED</t>
  </si>
  <si>
    <t>Prior Year Numbers</t>
  </si>
  <si>
    <t>Total Students (FTEs)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</si>
  <si>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</si>
  <si>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</si>
  <si>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</si>
  <si>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</si>
  <si>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</si>
  <si>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</si>
  <si>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</si>
  <si>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</si>
  <si>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</si>
  <si>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</si>
  <si>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</si>
  <si>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</si>
  <si>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</t>
  </si>
  <si>
    <t>WFTE Gross Value</t>
  </si>
  <si>
    <t xml:space="preserve">Other: </t>
  </si>
  <si>
    <t>Adjusted Net Income Available Before Lease and Debt Service</t>
  </si>
  <si>
    <t>Bond Payments 2019</t>
  </si>
  <si>
    <t xml:space="preserve">Annual Facility Lease Payments </t>
  </si>
  <si>
    <t>Total Lease Payments &amp; Net Debt Service</t>
  </si>
  <si>
    <t xml:space="preserve">Annual Debt Service Coverage </t>
  </si>
  <si>
    <t>Days Cash on Hand Calculation</t>
  </si>
  <si>
    <t>Accounts Receivable</t>
  </si>
  <si>
    <t>Plus:  Operating Surplus</t>
  </si>
  <si>
    <t>Ending Cash Balance</t>
  </si>
  <si>
    <t>Projected Days Cash on Hand</t>
  </si>
  <si>
    <t>19-20</t>
  </si>
  <si>
    <t>20-21</t>
  </si>
  <si>
    <t>21-22</t>
  </si>
  <si>
    <t>22-23</t>
  </si>
  <si>
    <t>23-24</t>
  </si>
  <si>
    <t>24-25</t>
  </si>
  <si>
    <t>25-26</t>
  </si>
  <si>
    <t>Classroom Teachers (Special)</t>
  </si>
  <si>
    <t>Teacher Assistants (Including SPED)</t>
  </si>
  <si>
    <t>NSLP</t>
  </si>
  <si>
    <t xml:space="preserve">Insurances/Employment Taxes/Other Benefits </t>
  </si>
  <si>
    <t xml:space="preserve">Total Cost of Benefits: </t>
  </si>
  <si>
    <t xml:space="preserve">Benefits % of Salaries: </t>
  </si>
  <si>
    <t>Classroom Teachers (Core)</t>
  </si>
  <si>
    <t>Starting Salary</t>
  </si>
  <si>
    <t>Position</t>
  </si>
  <si>
    <t xml:space="preserve">Anticipated Enrollment: </t>
  </si>
  <si>
    <t>Personnel</t>
  </si>
  <si>
    <t>Benefits</t>
  </si>
  <si>
    <t>Contractual</t>
  </si>
  <si>
    <t>Contracted Services</t>
  </si>
  <si>
    <t>Equipment</t>
  </si>
  <si>
    <t>Supplies</t>
  </si>
  <si>
    <t>Facility</t>
  </si>
  <si>
    <t>Travel</t>
  </si>
  <si>
    <t>Accounting, Audit, &amp; Legal Fees</t>
  </si>
  <si>
    <t>Technology</t>
  </si>
  <si>
    <t>Other</t>
  </si>
  <si>
    <t xml:space="preserve">Projected Beginning Cash Balance </t>
  </si>
  <si>
    <t>Snow Removal</t>
  </si>
  <si>
    <t>Bond Payments</t>
  </si>
  <si>
    <t>PLANNING</t>
  </si>
  <si>
    <t>PANN</t>
  </si>
  <si>
    <t>Marketing</t>
  </si>
  <si>
    <t>Kinder - Student Teacher Ratio(25:1)</t>
  </si>
  <si>
    <t>1st Grade - Student Teacher Ratio(25:1)</t>
  </si>
  <si>
    <t>2nd Grade - Student Teacher Ratio(26:1)</t>
  </si>
  <si>
    <t>3rd Grade - Student Teacher Ratio(26:1)</t>
  </si>
  <si>
    <t>4th Grade - Student Teacher Ratio(26:1)</t>
  </si>
  <si>
    <t>5th Grade - Student Teacher Ratio(26:1)</t>
  </si>
  <si>
    <t>6th Grade - Student Teacher Ratio(31:1)</t>
  </si>
  <si>
    <t>7th Grade - Student Teacher Ratio(31:1)</t>
  </si>
  <si>
    <t>8th Grade - Student Teacher Ratio(31:1)</t>
  </si>
  <si>
    <t>9th Grade - Student Teacher Ratio(31:1)</t>
  </si>
  <si>
    <t>10th Grade - Student Teacher Ratio(31:1)</t>
  </si>
  <si>
    <t>11th Grade - Student Teacher Ratio(31:1)</t>
  </si>
  <si>
    <t>12th Grade - Student Teacher Ratio(31:1)</t>
  </si>
  <si>
    <t>2025-2026</t>
  </si>
  <si>
    <t>2024-2025</t>
  </si>
  <si>
    <t>2023-2024</t>
  </si>
  <si>
    <t>2022-2023</t>
  </si>
  <si>
    <t>2021-2022</t>
  </si>
  <si>
    <t>2020-2021</t>
  </si>
  <si>
    <t>School Year</t>
  </si>
  <si>
    <t>Year 6</t>
  </si>
  <si>
    <t>Year 5</t>
  </si>
  <si>
    <t>Year 4</t>
  </si>
  <si>
    <t>Year 3</t>
  </si>
  <si>
    <t>Year 2</t>
  </si>
  <si>
    <t>Year 1</t>
  </si>
  <si>
    <t>Year</t>
  </si>
  <si>
    <t xml:space="preserve">Anticipated Borrowed Amount: </t>
  </si>
  <si>
    <t xml:space="preserve">Planned Enrollment: </t>
  </si>
  <si>
    <t xml:space="preserve">Total: </t>
  </si>
  <si>
    <t>K</t>
  </si>
  <si>
    <t>-</t>
  </si>
  <si>
    <t>2025-26</t>
  </si>
  <si>
    <t>2024-25</t>
  </si>
  <si>
    <t>2023-24</t>
  </si>
  <si>
    <t>2022-23</t>
  </si>
  <si>
    <t>2021-22</t>
  </si>
  <si>
    <t>2020-21</t>
  </si>
  <si>
    <t>Number of Students</t>
  </si>
  <si>
    <t>Grade Level</t>
  </si>
  <si>
    <t>Total:</t>
  </si>
  <si>
    <t>HR, Event Coordinator, Other</t>
  </si>
  <si>
    <t>Procurement Director, Facility Manager</t>
  </si>
  <si>
    <t>Paralegal, Director of Growth &amp; Management</t>
  </si>
  <si>
    <t>Bookkeepers</t>
  </si>
  <si>
    <t>CLO</t>
  </si>
  <si>
    <t xml:space="preserve">Total Salaries &amp; Wages: </t>
  </si>
  <si>
    <t>CFO</t>
  </si>
  <si>
    <t>COO</t>
  </si>
  <si>
    <t>Management Organization</t>
  </si>
  <si>
    <t>Additional staff positions will be added in the following years based upon the charter school's growth</t>
  </si>
  <si>
    <t>All salaries increased by 2% each year</t>
  </si>
  <si>
    <t xml:space="preserve">Total Staffing Cost: </t>
  </si>
  <si>
    <t>School Operations Support Staff</t>
  </si>
  <si>
    <t>Teachers Aid and Assistants</t>
  </si>
  <si>
    <t>$40,000/year</t>
  </si>
  <si>
    <t>$55,000/year</t>
  </si>
  <si>
    <t>Counselor</t>
  </si>
  <si>
    <t>Total Staff Each Year</t>
  </si>
  <si>
    <t>Personnel Chart</t>
  </si>
  <si>
    <t>State Administrative Fee (1.5%)</t>
  </si>
  <si>
    <t>PERS  - 29.25%</t>
  </si>
  <si>
    <t>MIN</t>
  </si>
  <si>
    <t>PLANNED</t>
  </si>
  <si>
    <t>MAX</t>
  </si>
  <si>
    <t>$110,000/year</t>
  </si>
  <si>
    <t>$57,000/year</t>
  </si>
  <si>
    <t>$43,000/year</t>
  </si>
  <si>
    <t>$45,000/year</t>
  </si>
  <si>
    <t>Avg</t>
  </si>
  <si>
    <t>$75,000/year</t>
  </si>
  <si>
    <t>$12.50/hour</t>
  </si>
  <si>
    <t>$12.75/hour</t>
  </si>
  <si>
    <t xml:space="preserve">Anticipated Facility Expenses </t>
  </si>
  <si>
    <t>Expense</t>
  </si>
  <si>
    <t>ELL Coordinator</t>
  </si>
  <si>
    <t>REVENUE (@ 99%)</t>
  </si>
  <si>
    <t>Lunch Program - Nat. School Lunch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</si>
</sst>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i/>
      <sz val="12"/>
      <color rgb="FFFF0000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200">
    <xf numFmtId="0" fontId="0" fillId="0" borderId="0" xfId="0"/>
    <xf numFmtId="0" fontId="0" fillId="0" borderId="0" xfId="0" applyFont="1"/>
    <xf numFmtId="0" fontId="4" fillId="0" borderId="0" xfId="0" applyFont="1" applyBorder="1"/>
    <xf numFmtId="164" fontId="0" fillId="0" borderId="0" xfId="0" applyNumberFormat="1" applyFont="1"/>
    <xf numFmtId="0" fontId="2" fillId="0" borderId="0" xfId="0" applyFont="1" applyBorder="1" applyAlignment="1">
      <alignment horizontal="center"/>
    </xf>
    <xf numFmtId="165" fontId="4" fillId="0" borderId="0" xfId="3" applyNumberFormat="1" applyFont="1" applyBorder="1"/>
    <xf numFmtId="0" fontId="4" fillId="0" borderId="1" xfId="0" applyFont="1" applyBorder="1"/>
    <xf numFmtId="0" fontId="0" fillId="0" borderId="2" xfId="0" applyFont="1" applyBorder="1"/>
    <xf numFmtId="164" fontId="4" fillId="0" borderId="3" xfId="0" applyNumberFormat="1" applyFont="1" applyBorder="1"/>
    <xf numFmtId="0" fontId="5" fillId="0" borderId="4" xfId="0" applyFont="1" applyBorder="1" applyAlignment="1">
      <alignment wrapText="1"/>
    </xf>
    <xf numFmtId="0" fontId="4" fillId="0" borderId="3" xfId="0" applyFont="1" applyBorder="1"/>
    <xf numFmtId="0" fontId="0" fillId="0" borderId="5" xfId="0" applyFont="1" applyBorder="1"/>
    <xf numFmtId="164" fontId="4" fillId="0" borderId="3" xfId="1" applyNumberFormat="1" applyFont="1" applyBorder="1"/>
    <xf numFmtId="0" fontId="5" fillId="0" borderId="4" xfId="0" applyFont="1" applyBorder="1"/>
    <xf numFmtId="0" fontId="5" fillId="0" borderId="4" xfId="0" applyFont="1" applyFill="1" applyBorder="1"/>
    <xf numFmtId="164" fontId="4" fillId="0" borderId="1" xfId="0" applyNumberFormat="1" applyFont="1" applyBorder="1"/>
    <xf numFmtId="0" fontId="5" fillId="0" borderId="6" xfId="0" applyFont="1" applyFill="1" applyBorder="1"/>
    <xf numFmtId="0" fontId="5" fillId="0" borderId="7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4" fillId="0" borderId="4" xfId="0" applyFont="1" applyFill="1" applyBorder="1"/>
    <xf numFmtId="164" fontId="4" fillId="0" borderId="3" xfId="1" applyNumberFormat="1" applyFont="1" applyFill="1" applyBorder="1"/>
    <xf numFmtId="0" fontId="5" fillId="2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164" fontId="4" fillId="0" borderId="10" xfId="1" applyNumberFormat="1" applyFont="1" applyBorder="1"/>
    <xf numFmtId="164" fontId="0" fillId="0" borderId="0" xfId="1" applyNumberFormat="1" applyFont="1"/>
    <xf numFmtId="164" fontId="6" fillId="3" borderId="10" xfId="1" applyNumberFormat="1" applyFont="1" applyFill="1" applyBorder="1"/>
    <xf numFmtId="0" fontId="6" fillId="3" borderId="9" xfId="0" applyFont="1" applyFill="1" applyBorder="1" applyAlignment="1">
      <alignment horizontal="right"/>
    </xf>
    <xf numFmtId="43" fontId="0" fillId="0" borderId="0" xfId="0" applyNumberFormat="1" applyFont="1"/>
    <xf numFmtId="9" fontId="0" fillId="0" borderId="0" xfId="3" applyFont="1"/>
    <xf numFmtId="164" fontId="4" fillId="3" borderId="3" xfId="1" applyNumberFormat="1" applyFont="1" applyFill="1" applyBorder="1"/>
    <xf numFmtId="0" fontId="6" fillId="3" borderId="4" xfId="0" applyFont="1" applyFill="1" applyBorder="1"/>
    <xf numFmtId="164" fontId="6" fillId="3" borderId="3" xfId="1" applyNumberFormat="1" applyFont="1" applyFill="1" applyBorder="1"/>
    <xf numFmtId="0" fontId="5" fillId="2" borderId="9" xfId="0" applyFont="1" applyFill="1" applyBorder="1"/>
    <xf numFmtId="0" fontId="5" fillId="0" borderId="3" xfId="0" applyFont="1" applyFill="1" applyBorder="1"/>
    <xf numFmtId="0" fontId="6" fillId="0" borderId="4" xfId="0" applyFont="1" applyFill="1" applyBorder="1"/>
    <xf numFmtId="0" fontId="0" fillId="0" borderId="4" xfId="0" applyFont="1" applyBorder="1"/>
    <xf numFmtId="164" fontId="4" fillId="0" borderId="10" xfId="0" applyNumberFormat="1" applyFont="1" applyBorder="1"/>
    <xf numFmtId="0" fontId="5" fillId="0" borderId="9" xfId="0" applyFont="1" applyFill="1" applyBorder="1"/>
    <xf numFmtId="0" fontId="4" fillId="0" borderId="11" xfId="0" applyFont="1" applyFill="1" applyBorder="1"/>
    <xf numFmtId="0" fontId="4" fillId="0" borderId="7" xfId="0" applyFont="1" applyFill="1" applyBorder="1"/>
    <xf numFmtId="0" fontId="6" fillId="0" borderId="9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8" xfId="0" applyFont="1" applyFill="1" applyBorder="1"/>
    <xf numFmtId="0" fontId="7" fillId="0" borderId="11" xfId="0" applyFont="1" applyFill="1" applyBorder="1"/>
    <xf numFmtId="10" fontId="4" fillId="0" borderId="3" xfId="3" applyNumberFormat="1" applyFont="1" applyFill="1" applyBorder="1" applyAlignment="1">
      <alignment horizontal="center"/>
    </xf>
    <xf numFmtId="0" fontId="6" fillId="0" borderId="11" xfId="0" applyFont="1" applyFill="1" applyBorder="1"/>
    <xf numFmtId="0" fontId="4" fillId="0" borderId="3" xfId="0" applyFont="1" applyFill="1" applyBorder="1"/>
    <xf numFmtId="2" fontId="4" fillId="4" borderId="12" xfId="0" applyNumberFormat="1" applyFont="1" applyFill="1" applyBorder="1" applyAlignment="1">
      <alignment horizontal="center"/>
    </xf>
    <xf numFmtId="0" fontId="6" fillId="4" borderId="11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6" fillId="4" borderId="13" xfId="0" applyFont="1" applyFill="1" applyBorder="1"/>
    <xf numFmtId="2" fontId="4" fillId="4" borderId="1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4" fillId="4" borderId="10" xfId="0" applyFont="1" applyFill="1" applyBorder="1"/>
    <xf numFmtId="0" fontId="6" fillId="4" borderId="4" xfId="0" applyFont="1" applyFill="1" applyBorder="1"/>
    <xf numFmtId="2" fontId="6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3" fontId="6" fillId="2" borderId="10" xfId="0" applyNumberFormat="1" applyFont="1" applyFill="1" applyBorder="1" applyAlignment="1">
      <alignment horizontal="center"/>
    </xf>
    <xf numFmtId="0" fontId="6" fillId="2" borderId="9" xfId="0" applyFont="1" applyFill="1" applyBorder="1"/>
    <xf numFmtId="0" fontId="6" fillId="0" borderId="10" xfId="0" applyFont="1" applyFill="1" applyBorder="1"/>
    <xf numFmtId="2" fontId="6" fillId="0" borderId="10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" fillId="0" borderId="4" xfId="0" applyFont="1" applyBorder="1"/>
    <xf numFmtId="0" fontId="0" fillId="0" borderId="4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4" fillId="0" borderId="9" xfId="2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4" xfId="2" applyNumberFormat="1" applyFont="1" applyFill="1" applyBorder="1" applyAlignment="1">
      <alignment horizontal="right"/>
    </xf>
    <xf numFmtId="166" fontId="4" fillId="0" borderId="14" xfId="2" applyNumberFormat="1" applyFont="1" applyBorder="1"/>
    <xf numFmtId="166" fontId="4" fillId="0" borderId="14" xfId="2" applyNumberFormat="1" applyFont="1" applyFill="1" applyBorder="1"/>
    <xf numFmtId="0" fontId="4" fillId="0" borderId="5" xfId="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15" xfId="1" applyNumberFormat="1" applyFont="1" applyBorder="1"/>
    <xf numFmtId="10" fontId="4" fillId="0" borderId="8" xfId="3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2" fillId="5" borderId="16" xfId="0" applyFont="1" applyFill="1" applyBorder="1"/>
    <xf numFmtId="164" fontId="4" fillId="5" borderId="16" xfId="0" applyNumberFormat="1" applyFont="1" applyFill="1" applyBorder="1"/>
    <xf numFmtId="0" fontId="0" fillId="0" borderId="0" xfId="0" applyFont="1" applyBorder="1"/>
    <xf numFmtId="164" fontId="4" fillId="0" borderId="0" xfId="1" applyNumberFormat="1" applyFont="1" applyBorder="1"/>
    <xf numFmtId="0" fontId="0" fillId="0" borderId="0" xfId="0" applyFont="1" applyFill="1" applyBorder="1"/>
    <xf numFmtId="0" fontId="2" fillId="6" borderId="16" xfId="0" applyFont="1" applyFill="1" applyBorder="1"/>
    <xf numFmtId="164" fontId="4" fillId="6" borderId="16" xfId="1" applyNumberFormat="1" applyFont="1" applyFill="1" applyBorder="1"/>
    <xf numFmtId="43" fontId="6" fillId="5" borderId="16" xfId="1" applyFont="1" applyFill="1" applyBorder="1"/>
    <xf numFmtId="0" fontId="2" fillId="7" borderId="16" xfId="0" applyFont="1" applyFill="1" applyBorder="1" applyAlignment="1"/>
    <xf numFmtId="0" fontId="1" fillId="7" borderId="16" xfId="0" applyFont="1" applyFill="1" applyBorder="1"/>
    <xf numFmtId="0" fontId="2" fillId="0" borderId="0" xfId="0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3" fontId="2" fillId="0" borderId="0" xfId="0" applyNumberFormat="1" applyFont="1"/>
    <xf numFmtId="0" fontId="0" fillId="0" borderId="0" xfId="0" applyAlignment="1">
      <alignment horizontal="right"/>
    </xf>
    <xf numFmtId="10" fontId="0" fillId="0" borderId="0" xfId="3" applyNumberFormat="1" applyFont="1"/>
    <xf numFmtId="10" fontId="0" fillId="0" borderId="0" xfId="0" applyNumberFormat="1"/>
    <xf numFmtId="164" fontId="9" fillId="7" borderId="16" xfId="1" applyNumberFormat="1" applyFont="1" applyFill="1" applyBorder="1"/>
    <xf numFmtId="41" fontId="4" fillId="8" borderId="0" xfId="0" applyNumberFormat="1" applyFont="1" applyFill="1" applyBorder="1"/>
    <xf numFmtId="43" fontId="4" fillId="8" borderId="0" xfId="0" applyNumberFormat="1" applyFont="1" applyFill="1" applyBorder="1"/>
    <xf numFmtId="0" fontId="0" fillId="0" borderId="0" xfId="0" applyFont="1" applyFill="1"/>
    <xf numFmtId="164" fontId="4" fillId="0" borderId="18" xfId="1" applyNumberFormat="1" applyFont="1" applyBorder="1"/>
    <xf numFmtId="164" fontId="6" fillId="0" borderId="3" xfId="0" applyNumberFormat="1" applyFont="1" applyBorder="1" applyAlignment="1">
      <alignment horizontal="center"/>
    </xf>
    <xf numFmtId="166" fontId="4" fillId="0" borderId="19" xfId="2" applyNumberFormat="1" applyFont="1" applyFill="1" applyBorder="1"/>
    <xf numFmtId="164" fontId="4" fillId="0" borderId="18" xfId="0" applyNumberFormat="1" applyFont="1" applyBorder="1"/>
    <xf numFmtId="164" fontId="4" fillId="0" borderId="15" xfId="0" applyNumberFormat="1" applyFont="1" applyBorder="1"/>
    <xf numFmtId="3" fontId="6" fillId="2" borderId="15" xfId="0" applyNumberFormat="1" applyFont="1" applyFill="1" applyBorder="1" applyAlignment="1">
      <alignment horizontal="center"/>
    </xf>
    <xf numFmtId="0" fontId="3" fillId="0" borderId="20" xfId="0" applyFont="1" applyBorder="1"/>
    <xf numFmtId="1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/>
    <xf numFmtId="1" fontId="4" fillId="0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>
      <alignment horizontal="center"/>
    </xf>
    <xf numFmtId="0" fontId="4" fillId="4" borderId="15" xfId="0" applyFont="1" applyFill="1" applyBorder="1"/>
    <xf numFmtId="2" fontId="4" fillId="4" borderId="15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center"/>
    </xf>
    <xf numFmtId="2" fontId="4" fillId="4" borderId="22" xfId="0" applyNumberFormat="1" applyFont="1" applyFill="1" applyBorder="1" applyAlignment="1">
      <alignment horizontal="center"/>
    </xf>
    <xf numFmtId="0" fontId="4" fillId="0" borderId="18" xfId="0" applyFont="1" applyFill="1" applyBorder="1"/>
    <xf numFmtId="10" fontId="4" fillId="0" borderId="20" xfId="3" applyNumberFormat="1" applyFont="1" applyFill="1" applyBorder="1" applyAlignment="1">
      <alignment horizontal="center"/>
    </xf>
    <xf numFmtId="10" fontId="4" fillId="0" borderId="18" xfId="3" applyNumberFormat="1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18" xfId="0" applyFont="1" applyBorder="1"/>
    <xf numFmtId="0" fontId="4" fillId="0" borderId="20" xfId="0" applyFont="1" applyFill="1" applyBorder="1" applyAlignment="1">
      <alignment horizontal="right"/>
    </xf>
    <xf numFmtId="164" fontId="4" fillId="0" borderId="18" xfId="1" applyNumberFormat="1" applyFont="1" applyFill="1" applyBorder="1"/>
    <xf numFmtId="0" fontId="5" fillId="0" borderId="18" xfId="0" applyFont="1" applyFill="1" applyBorder="1"/>
    <xf numFmtId="0" fontId="6" fillId="2" borderId="15" xfId="0" applyFont="1" applyFill="1" applyBorder="1" applyAlignment="1">
      <alignment horizontal="center"/>
    </xf>
    <xf numFmtId="164" fontId="6" fillId="3" borderId="18" xfId="1" applyNumberFormat="1" applyFont="1" applyFill="1" applyBorder="1"/>
    <xf numFmtId="164" fontId="4" fillId="3" borderId="18" xfId="1" applyNumberFormat="1" applyFont="1" applyFill="1" applyBorder="1"/>
    <xf numFmtId="164" fontId="6" fillId="3" borderId="15" xfId="1" applyNumberFormat="1" applyFont="1" applyFill="1" applyBorder="1"/>
    <xf numFmtId="0" fontId="6" fillId="2" borderId="20" xfId="0" applyFont="1" applyFill="1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10" fillId="0" borderId="0" xfId="4"/>
    <xf numFmtId="0" fontId="11" fillId="0" borderId="0" xfId="4" applyFont="1"/>
    <xf numFmtId="10" fontId="11" fillId="0" borderId="0" xfId="3" applyNumberFormat="1" applyFont="1"/>
    <xf numFmtId="16" fontId="11" fillId="0" borderId="0" xfId="4" quotePrefix="1" applyNumberFormat="1" applyFont="1"/>
    <xf numFmtId="0" fontId="11" fillId="0" borderId="0" xfId="4" quotePrefix="1" applyFont="1"/>
    <xf numFmtId="167" fontId="4" fillId="0" borderId="3" xfId="0" applyNumberFormat="1" applyFont="1" applyFill="1" applyBorder="1" applyAlignment="1" applyProtection="1">
      <alignment horizontal="center"/>
      <protection locked="0"/>
    </xf>
    <xf numFmtId="167" fontId="4" fillId="0" borderId="18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5" fillId="0" borderId="17" xfId="0" applyFont="1" applyBorder="1"/>
    <xf numFmtId="5" fontId="15" fillId="0" borderId="17" xfId="2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44" fontId="15" fillId="0" borderId="17" xfId="2" applyFont="1" applyBorder="1" applyAlignment="1">
      <alignment horizontal="center"/>
    </xf>
    <xf numFmtId="0" fontId="15" fillId="0" borderId="0" xfId="0" applyFont="1" applyBorder="1"/>
    <xf numFmtId="44" fontId="17" fillId="0" borderId="17" xfId="2" applyFont="1" applyBorder="1" applyAlignment="1">
      <alignment horizontal="right"/>
    </xf>
    <xf numFmtId="166" fontId="17" fillId="0" borderId="17" xfId="2" applyNumberFormat="1" applyFont="1" applyBorder="1" applyAlignment="1">
      <alignment horizontal="center"/>
    </xf>
    <xf numFmtId="44" fontId="15" fillId="0" borderId="0" xfId="2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6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7" xfId="0" applyFont="1" applyBorder="1" applyAlignment="1">
      <alignment horizontal="center"/>
    </xf>
    <xf numFmtId="0" fontId="16" fillId="0" borderId="17" xfId="0" applyFont="1" applyBorder="1"/>
    <xf numFmtId="0" fontId="16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166" fontId="15" fillId="0" borderId="17" xfId="2" applyNumberFormat="1" applyFont="1" applyBorder="1" applyAlignment="1">
      <alignment horizontal="center"/>
    </xf>
    <xf numFmtId="10" fontId="15" fillId="0" borderId="17" xfId="3" applyNumberFormat="1" applyFont="1" applyBorder="1" applyAlignment="1">
      <alignment horizontal="center"/>
    </xf>
    <xf numFmtId="0" fontId="20" fillId="0" borderId="17" xfId="0" applyFont="1" applyBorder="1" applyAlignment="1">
      <alignment horizontal="right"/>
    </xf>
    <xf numFmtId="44" fontId="16" fillId="0" borderId="0" xfId="0" applyNumberFormat="1" applyFont="1"/>
    <xf numFmtId="0" fontId="20" fillId="0" borderId="0" xfId="0" applyFont="1"/>
    <xf numFmtId="0" fontId="16" fillId="2" borderId="17" xfId="0" applyFont="1" applyFill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10" fontId="16" fillId="0" borderId="0" xfId="3" applyNumberFormat="1" applyFont="1" applyAlignment="1">
      <alignment horizontal="center"/>
    </xf>
    <xf numFmtId="0" fontId="21" fillId="0" borderId="0" xfId="4" applyFont="1"/>
    <xf numFmtId="0" fontId="22" fillId="0" borderId="17" xfId="4" applyFont="1" applyBorder="1" applyAlignment="1">
      <alignment horizontal="right"/>
    </xf>
    <xf numFmtId="0" fontId="15" fillId="0" borderId="17" xfId="4" applyFont="1" applyBorder="1" applyAlignment="1">
      <alignment horizontal="center"/>
    </xf>
    <xf numFmtId="0" fontId="22" fillId="0" borderId="17" xfId="4" applyFont="1" applyBorder="1" applyAlignment="1">
      <alignment horizontal="center" wrapText="1"/>
    </xf>
    <xf numFmtId="44" fontId="21" fillId="0" borderId="17" xfId="4" applyNumberFormat="1" applyFont="1" applyBorder="1"/>
    <xf numFmtId="0" fontId="22" fillId="0" borderId="0" xfId="4" applyFont="1" applyBorder="1" applyAlignment="1">
      <alignment horizontal="right"/>
    </xf>
    <xf numFmtId="44" fontId="21" fillId="0" borderId="0" xfId="4" applyNumberFormat="1" applyFont="1" applyBorder="1"/>
    <xf numFmtId="0" fontId="22" fillId="0" borderId="17" xfId="4" applyFont="1" applyBorder="1" applyAlignment="1">
      <alignment horizontal="center"/>
    </xf>
    <xf numFmtId="44" fontId="21" fillId="0" borderId="17" xfId="4" applyNumberFormat="1" applyFont="1" applyBorder="1" applyAlignment="1">
      <alignment horizontal="center"/>
    </xf>
    <xf numFmtId="44" fontId="22" fillId="0" borderId="17" xfId="4" applyNumberFormat="1" applyFont="1" applyBorder="1"/>
    <xf numFmtId="0" fontId="23" fillId="0" borderId="17" xfId="4" applyFont="1" applyBorder="1" applyAlignment="1">
      <alignment horizontal="center"/>
    </xf>
    <xf numFmtId="0" fontId="21" fillId="0" borderId="17" xfId="4" applyFont="1" applyBorder="1"/>
    <xf numFmtId="14" fontId="21" fillId="0" borderId="0" xfId="4" applyNumberFormat="1" applyFont="1" applyAlignment="1">
      <alignment horizontal="center"/>
    </xf>
    <xf numFmtId="164" fontId="4" fillId="0" borderId="0" xfId="1" applyNumberFormat="1" applyFont="1" applyFill="1" applyBorder="1"/>
    <xf numFmtId="0" fontId="20" fillId="0" borderId="17" xfId="0" applyFont="1" applyBorder="1" applyAlignment="1">
      <alignment horizontal="center"/>
    </xf>
    <xf numFmtId="2" fontId="0" fillId="0" borderId="0" xfId="0" applyNumberFormat="1" applyFont="1"/>
    <xf numFmtId="44" fontId="16" fillId="0" borderId="0" xfId="2" applyNumberFormat="1" applyFont="1"/>
    <xf numFmtId="44" fontId="16" fillId="0" borderId="17" xfId="2" applyFont="1" applyBorder="1"/>
    <xf numFmtId="0" fontId="22" fillId="0" borderId="0" xfId="4" applyNumberFormat="1" applyFont="1" applyBorder="1" applyAlignment="1">
      <alignment horizontal="right" vertical="center" textRotation="90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topLeftCell="A37" zoomScaleNormal="100" workbookViewId="0">
      <selection activeCell="B122" sqref="B122"/>
    </sheetView>
  </sheetViews>
  <sheetFormatPr defaultColWidth="8.88671875" defaultRowHeight="14.4" x14ac:dyDescent="0.3"/>
  <cols>
    <col min="1" max="1" width="48.44140625" style="1" bestFit="1" customWidth="1"/>
    <col min="2" max="7" width="18.5546875" style="2" customWidth="1"/>
    <col min="8" max="9" width="11.5546875" style="1" bestFit="1" customWidth="1"/>
    <col min="10" max="15" width="11.109375" style="1" bestFit="1" customWidth="1"/>
    <col min="24" max="16384" width="8.88671875" style="1"/>
  </cols>
  <sheetData>
    <row r="1" spans="1:21" ht="15" thickBot="1" x14ac:dyDescent="0.35">
      <c r="A1" s="79" t="s">
        <v>176</v>
      </c>
      <c r="B1" s="78" t="s">
        <v>145</v>
      </c>
      <c r="C1" s="78" t="s">
        <v>146</v>
      </c>
      <c r="D1" s="78" t="s">
        <v>147</v>
      </c>
      <c r="E1" s="78" t="s">
        <v>148</v>
      </c>
      <c r="F1" s="78" t="s">
        <v>149</v>
      </c>
      <c r="G1" s="78" t="s">
        <v>150</v>
      </c>
    </row>
    <row r="2" spans="1:21" x14ac:dyDescent="0.3">
      <c r="A2" s="77" t="s">
        <v>132</v>
      </c>
      <c r="B2" s="106">
        <f>6034+1368</f>
        <v>7402</v>
      </c>
      <c r="C2" s="76">
        <f>B2*1.013</f>
        <v>7498.2259999999997</v>
      </c>
      <c r="D2" s="76">
        <f>C2*1.013</f>
        <v>7595.7029379999985</v>
      </c>
      <c r="E2" s="76">
        <f>D2*1.013</f>
        <v>7694.4470761939974</v>
      </c>
      <c r="F2" s="76">
        <f t="shared" ref="F2:G2" si="0">E2*1.013</f>
        <v>7794.4748881845189</v>
      </c>
      <c r="G2" s="76">
        <f t="shared" si="0"/>
        <v>7895.8030617309169</v>
      </c>
    </row>
    <row r="3" spans="1:21" x14ac:dyDescent="0.3">
      <c r="A3" s="74" t="s">
        <v>118</v>
      </c>
      <c r="B3" s="107">
        <f t="shared" ref="B3:G3" si="1">SUM(B4:B16)</f>
        <v>688</v>
      </c>
      <c r="C3" s="8">
        <f t="shared" si="1"/>
        <v>807</v>
      </c>
      <c r="D3" s="8">
        <f t="shared" si="1"/>
        <v>895</v>
      </c>
      <c r="E3" s="8">
        <f t="shared" si="1"/>
        <v>957</v>
      </c>
      <c r="F3" s="8">
        <f t="shared" ref="F3" si="2">SUM(F4:F16)</f>
        <v>988</v>
      </c>
      <c r="G3" s="8">
        <f t="shared" si="1"/>
        <v>988</v>
      </c>
      <c r="H3" s="3"/>
      <c r="I3" s="78" t="s">
        <v>145</v>
      </c>
      <c r="J3" s="78" t="s">
        <v>146</v>
      </c>
      <c r="K3" s="78" t="s">
        <v>147</v>
      </c>
      <c r="L3" s="78" t="s">
        <v>148</v>
      </c>
      <c r="M3" s="78" t="s">
        <v>149</v>
      </c>
      <c r="N3" s="78" t="s">
        <v>150</v>
      </c>
      <c r="O3" s="94"/>
    </row>
    <row r="4" spans="1:21" x14ac:dyDescent="0.3">
      <c r="A4" s="73" t="s">
        <v>178</v>
      </c>
      <c r="B4" s="108">
        <v>100</v>
      </c>
      <c r="C4" s="38">
        <v>100</v>
      </c>
      <c r="D4" s="38">
        <v>100</v>
      </c>
      <c r="E4" s="38">
        <v>100</v>
      </c>
      <c r="F4" s="38">
        <v>100</v>
      </c>
      <c r="G4" s="38">
        <v>100</v>
      </c>
      <c r="H4" s="3"/>
      <c r="I4" s="29">
        <f t="shared" ref="I4:N5" si="3">B4/25</f>
        <v>4</v>
      </c>
      <c r="J4" s="29">
        <f t="shared" si="3"/>
        <v>4</v>
      </c>
      <c r="K4" s="29">
        <f t="shared" si="3"/>
        <v>4</v>
      </c>
      <c r="L4" s="29">
        <f t="shared" si="3"/>
        <v>4</v>
      </c>
      <c r="M4" s="29">
        <f t="shared" si="3"/>
        <v>4</v>
      </c>
      <c r="N4" s="29">
        <f t="shared" si="3"/>
        <v>4</v>
      </c>
      <c r="O4" s="29"/>
    </row>
    <row r="5" spans="1:21" x14ac:dyDescent="0.3">
      <c r="A5" s="72" t="s">
        <v>179</v>
      </c>
      <c r="B5" s="108">
        <v>100</v>
      </c>
      <c r="C5" s="38">
        <v>100</v>
      </c>
      <c r="D5" s="38">
        <v>100</v>
      </c>
      <c r="E5" s="38">
        <v>100</v>
      </c>
      <c r="F5" s="38">
        <v>100</v>
      </c>
      <c r="G5" s="38">
        <v>100</v>
      </c>
      <c r="H5" s="3"/>
      <c r="I5" s="29">
        <f t="shared" si="3"/>
        <v>4</v>
      </c>
      <c r="J5" s="29">
        <f t="shared" si="3"/>
        <v>4</v>
      </c>
      <c r="K5" s="29">
        <f t="shared" si="3"/>
        <v>4</v>
      </c>
      <c r="L5" s="29">
        <f t="shared" si="3"/>
        <v>4</v>
      </c>
      <c r="M5" s="29">
        <f t="shared" si="3"/>
        <v>4</v>
      </c>
      <c r="N5" s="29">
        <f t="shared" si="3"/>
        <v>4</v>
      </c>
      <c r="O5" s="29"/>
    </row>
    <row r="6" spans="1:21" x14ac:dyDescent="0.3">
      <c r="A6" s="72" t="s">
        <v>180</v>
      </c>
      <c r="B6" s="108">
        <v>104</v>
      </c>
      <c r="C6" s="38">
        <v>104</v>
      </c>
      <c r="D6" s="38">
        <v>104</v>
      </c>
      <c r="E6" s="38">
        <v>104</v>
      </c>
      <c r="F6" s="38">
        <v>104</v>
      </c>
      <c r="G6" s="38">
        <v>104</v>
      </c>
      <c r="H6" s="3"/>
      <c r="I6" s="29">
        <f t="shared" ref="I6:N9" si="4">B6/26</f>
        <v>4</v>
      </c>
      <c r="J6" s="29">
        <f t="shared" si="4"/>
        <v>4</v>
      </c>
      <c r="K6" s="29">
        <f t="shared" si="4"/>
        <v>4</v>
      </c>
      <c r="L6" s="29">
        <f t="shared" si="4"/>
        <v>4</v>
      </c>
      <c r="M6" s="29">
        <f t="shared" si="4"/>
        <v>4</v>
      </c>
      <c r="N6" s="29">
        <f t="shared" si="4"/>
        <v>4</v>
      </c>
      <c r="O6" s="29"/>
    </row>
    <row r="7" spans="1:21" x14ac:dyDescent="0.3">
      <c r="A7" s="71" t="s">
        <v>181</v>
      </c>
      <c r="B7" s="108">
        <v>104</v>
      </c>
      <c r="C7" s="38">
        <v>104</v>
      </c>
      <c r="D7" s="38">
        <v>104</v>
      </c>
      <c r="E7" s="38">
        <v>104</v>
      </c>
      <c r="F7" s="38">
        <v>104</v>
      </c>
      <c r="G7" s="38">
        <v>104</v>
      </c>
      <c r="H7" s="3"/>
      <c r="I7" s="29">
        <f t="shared" si="4"/>
        <v>4</v>
      </c>
      <c r="J7" s="29">
        <f t="shared" si="4"/>
        <v>4</v>
      </c>
      <c r="K7" s="29">
        <f t="shared" si="4"/>
        <v>4</v>
      </c>
      <c r="L7" s="29">
        <f t="shared" si="4"/>
        <v>4</v>
      </c>
      <c r="M7" s="29">
        <f t="shared" si="4"/>
        <v>4</v>
      </c>
      <c r="N7" s="29">
        <f t="shared" si="4"/>
        <v>4</v>
      </c>
      <c r="O7" s="29"/>
    </row>
    <row r="8" spans="1:21" x14ac:dyDescent="0.3">
      <c r="A8" s="71" t="s">
        <v>182</v>
      </c>
      <c r="B8" s="108">
        <v>78</v>
      </c>
      <c r="C8" s="38">
        <v>104</v>
      </c>
      <c r="D8" s="38">
        <v>104</v>
      </c>
      <c r="E8" s="38">
        <v>104</v>
      </c>
      <c r="F8" s="38">
        <v>104</v>
      </c>
      <c r="G8" s="38">
        <v>104</v>
      </c>
      <c r="H8" s="3"/>
      <c r="I8" s="29">
        <f t="shared" si="4"/>
        <v>3</v>
      </c>
      <c r="J8" s="29">
        <f t="shared" si="4"/>
        <v>4</v>
      </c>
      <c r="K8" s="29">
        <f t="shared" si="4"/>
        <v>4</v>
      </c>
      <c r="L8" s="29">
        <f t="shared" si="4"/>
        <v>4</v>
      </c>
      <c r="M8" s="29">
        <f t="shared" si="4"/>
        <v>4</v>
      </c>
      <c r="N8" s="29">
        <f t="shared" si="4"/>
        <v>4</v>
      </c>
      <c r="O8" s="29"/>
      <c r="P8" s="142">
        <f>I17-P10</f>
        <v>22</v>
      </c>
      <c r="Q8" s="142">
        <f t="shared" ref="Q8:T8" si="5">J17-Q10</f>
        <v>23</v>
      </c>
      <c r="R8" s="142">
        <f t="shared" si="5"/>
        <v>24</v>
      </c>
      <c r="S8" s="142">
        <f t="shared" si="5"/>
        <v>24</v>
      </c>
      <c r="T8" s="142">
        <f t="shared" si="5"/>
        <v>24</v>
      </c>
      <c r="U8" s="142">
        <f>N17-U10</f>
        <v>24</v>
      </c>
    </row>
    <row r="9" spans="1:21" x14ac:dyDescent="0.3">
      <c r="A9" s="71" t="s">
        <v>183</v>
      </c>
      <c r="B9" s="108">
        <v>78</v>
      </c>
      <c r="C9" s="38">
        <v>78</v>
      </c>
      <c r="D9" s="38">
        <v>104</v>
      </c>
      <c r="E9" s="38">
        <v>104</v>
      </c>
      <c r="F9" s="38">
        <v>104</v>
      </c>
      <c r="G9" s="38">
        <v>104</v>
      </c>
      <c r="H9" s="3"/>
      <c r="I9" s="29">
        <f t="shared" si="4"/>
        <v>3</v>
      </c>
      <c r="J9" s="29">
        <f t="shared" si="4"/>
        <v>3</v>
      </c>
      <c r="K9" s="29">
        <f t="shared" si="4"/>
        <v>4</v>
      </c>
      <c r="L9" s="29">
        <f t="shared" si="4"/>
        <v>4</v>
      </c>
      <c r="M9" s="29">
        <f t="shared" si="4"/>
        <v>4</v>
      </c>
      <c r="N9" s="29">
        <f t="shared" si="4"/>
        <v>4</v>
      </c>
      <c r="O9" s="29"/>
    </row>
    <row r="10" spans="1:21" x14ac:dyDescent="0.3">
      <c r="A10" s="71" t="s">
        <v>184</v>
      </c>
      <c r="B10" s="108">
        <v>62</v>
      </c>
      <c r="C10" s="38">
        <v>93</v>
      </c>
      <c r="D10" s="38">
        <v>124</v>
      </c>
      <c r="E10" s="38">
        <v>124</v>
      </c>
      <c r="F10" s="38">
        <v>124</v>
      </c>
      <c r="G10" s="38">
        <v>124</v>
      </c>
      <c r="H10" s="3"/>
      <c r="I10" s="29">
        <f t="shared" ref="I10:N10" si="6">B10/31</f>
        <v>2</v>
      </c>
      <c r="J10" s="29">
        <f t="shared" si="6"/>
        <v>3</v>
      </c>
      <c r="K10" s="29">
        <f t="shared" si="6"/>
        <v>4</v>
      </c>
      <c r="L10" s="29">
        <f t="shared" si="6"/>
        <v>4</v>
      </c>
      <c r="M10" s="29">
        <f t="shared" si="6"/>
        <v>4</v>
      </c>
      <c r="N10" s="29">
        <f t="shared" si="6"/>
        <v>4</v>
      </c>
      <c r="O10" s="29"/>
      <c r="P10" s="142">
        <f>SUM(I10:I16)</f>
        <v>4</v>
      </c>
      <c r="Q10" s="142">
        <f t="shared" ref="Q10:T10" si="7">SUM(J10:J16)</f>
        <v>7</v>
      </c>
      <c r="R10" s="142">
        <f t="shared" si="7"/>
        <v>9</v>
      </c>
      <c r="S10" s="142">
        <f t="shared" si="7"/>
        <v>11</v>
      </c>
      <c r="T10" s="142">
        <f t="shared" si="7"/>
        <v>12</v>
      </c>
      <c r="U10" s="142">
        <f>SUM(N10:N16)</f>
        <v>12</v>
      </c>
    </row>
    <row r="11" spans="1:21" x14ac:dyDescent="0.3">
      <c r="A11" s="71" t="s">
        <v>185</v>
      </c>
      <c r="B11" s="108">
        <v>62</v>
      </c>
      <c r="C11" s="38">
        <v>62</v>
      </c>
      <c r="D11" s="38">
        <v>93</v>
      </c>
      <c r="E11" s="38">
        <v>124</v>
      </c>
      <c r="F11" s="38">
        <v>124</v>
      </c>
      <c r="G11" s="38">
        <v>124</v>
      </c>
      <c r="H11" s="3"/>
      <c r="I11" s="29">
        <f>B11/31</f>
        <v>2</v>
      </c>
      <c r="J11" s="29">
        <f t="shared" ref="J11:L16" si="8">C11/31</f>
        <v>2</v>
      </c>
      <c r="K11" s="29">
        <f t="shared" si="8"/>
        <v>3</v>
      </c>
      <c r="L11" s="29">
        <f t="shared" si="8"/>
        <v>4</v>
      </c>
      <c r="M11" s="29">
        <f t="shared" ref="M11:N16" si="9">F11/31</f>
        <v>4</v>
      </c>
      <c r="N11" s="29">
        <f t="shared" si="9"/>
        <v>4</v>
      </c>
      <c r="O11" s="29"/>
    </row>
    <row r="12" spans="1:21" x14ac:dyDescent="0.3">
      <c r="A12" s="71" t="s">
        <v>186</v>
      </c>
      <c r="B12" s="108">
        <v>0</v>
      </c>
      <c r="C12" s="38">
        <v>62</v>
      </c>
      <c r="D12" s="38">
        <v>62</v>
      </c>
      <c r="E12" s="38">
        <v>93</v>
      </c>
      <c r="F12" s="38">
        <v>124</v>
      </c>
      <c r="G12" s="38">
        <v>124</v>
      </c>
      <c r="H12" s="3"/>
      <c r="I12" s="29">
        <f>B12/31</f>
        <v>0</v>
      </c>
      <c r="J12" s="29">
        <f t="shared" si="8"/>
        <v>2</v>
      </c>
      <c r="K12" s="29">
        <f t="shared" si="8"/>
        <v>2</v>
      </c>
      <c r="L12" s="29">
        <f t="shared" si="8"/>
        <v>3</v>
      </c>
      <c r="M12" s="29">
        <f t="shared" si="9"/>
        <v>4</v>
      </c>
      <c r="N12" s="29">
        <f t="shared" si="9"/>
        <v>4</v>
      </c>
      <c r="O12" s="29"/>
    </row>
    <row r="13" spans="1:21" x14ac:dyDescent="0.3">
      <c r="A13" s="71" t="s">
        <v>187</v>
      </c>
      <c r="B13" s="10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"/>
      <c r="I13" s="29">
        <f t="shared" ref="I13:I16" si="10">B13/31</f>
        <v>0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9">
        <f t="shared" si="9"/>
        <v>0</v>
      </c>
      <c r="N13" s="29">
        <f t="shared" si="9"/>
        <v>0</v>
      </c>
      <c r="O13" s="29"/>
    </row>
    <row r="14" spans="1:21" x14ac:dyDescent="0.3">
      <c r="A14" s="71" t="s">
        <v>188</v>
      </c>
      <c r="B14" s="10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"/>
      <c r="I14" s="29">
        <f t="shared" si="10"/>
        <v>0</v>
      </c>
      <c r="J14" s="29">
        <f t="shared" si="8"/>
        <v>0</v>
      </c>
      <c r="K14" s="29">
        <f t="shared" si="8"/>
        <v>0</v>
      </c>
      <c r="L14" s="29">
        <f t="shared" si="8"/>
        <v>0</v>
      </c>
      <c r="M14" s="29">
        <f t="shared" si="9"/>
        <v>0</v>
      </c>
      <c r="N14" s="29">
        <f t="shared" si="9"/>
        <v>0</v>
      </c>
      <c r="O14" s="29"/>
    </row>
    <row r="15" spans="1:21" x14ac:dyDescent="0.3">
      <c r="A15" s="71" t="s">
        <v>189</v>
      </c>
      <c r="B15" s="10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"/>
      <c r="I15" s="29">
        <f t="shared" si="10"/>
        <v>0</v>
      </c>
      <c r="J15" s="29">
        <f t="shared" si="8"/>
        <v>0</v>
      </c>
      <c r="K15" s="29">
        <f t="shared" si="8"/>
        <v>0</v>
      </c>
      <c r="L15" s="29">
        <f t="shared" si="8"/>
        <v>0</v>
      </c>
      <c r="M15" s="29">
        <f t="shared" si="9"/>
        <v>0</v>
      </c>
      <c r="N15" s="29">
        <f t="shared" si="9"/>
        <v>0</v>
      </c>
      <c r="O15" s="29"/>
    </row>
    <row r="16" spans="1:21" x14ac:dyDescent="0.3">
      <c r="A16" s="71" t="s">
        <v>190</v>
      </c>
      <c r="B16" s="10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"/>
      <c r="I16" s="29">
        <f t="shared" si="10"/>
        <v>0</v>
      </c>
      <c r="J16" s="29">
        <f t="shared" si="8"/>
        <v>0</v>
      </c>
      <c r="K16" s="29">
        <f t="shared" si="8"/>
        <v>0</v>
      </c>
      <c r="L16" s="29">
        <f t="shared" si="8"/>
        <v>0</v>
      </c>
      <c r="M16" s="29">
        <f t="shared" si="9"/>
        <v>0</v>
      </c>
      <c r="N16" s="29">
        <f t="shared" si="9"/>
        <v>0</v>
      </c>
      <c r="O16" s="29"/>
    </row>
    <row r="17" spans="1:14" x14ac:dyDescent="0.3">
      <c r="A17" s="71" t="s">
        <v>118</v>
      </c>
      <c r="B17" s="80">
        <f t="shared" ref="B17:G17" si="11">SUM(B4:B16)</f>
        <v>688</v>
      </c>
      <c r="C17" s="25">
        <f t="shared" si="11"/>
        <v>807</v>
      </c>
      <c r="D17" s="25">
        <f t="shared" si="11"/>
        <v>895</v>
      </c>
      <c r="E17" s="25">
        <f t="shared" si="11"/>
        <v>957</v>
      </c>
      <c r="F17" s="25">
        <f t="shared" ref="F17" si="12">SUM(F4:F16)</f>
        <v>988</v>
      </c>
      <c r="G17" s="25">
        <f t="shared" si="11"/>
        <v>988</v>
      </c>
      <c r="H17" s="3"/>
      <c r="I17" s="29">
        <f t="shared" ref="I17:M17" si="13">SUM(I4:I16)</f>
        <v>26</v>
      </c>
      <c r="J17" s="29">
        <f t="shared" si="13"/>
        <v>30</v>
      </c>
      <c r="K17" s="29">
        <f t="shared" si="13"/>
        <v>33</v>
      </c>
      <c r="L17" s="29">
        <f t="shared" si="13"/>
        <v>35</v>
      </c>
      <c r="M17" s="29">
        <f t="shared" si="13"/>
        <v>36</v>
      </c>
      <c r="N17" s="29">
        <f>SUM(N4:N16)</f>
        <v>36</v>
      </c>
    </row>
    <row r="18" spans="1:14" x14ac:dyDescent="0.3">
      <c r="A18" s="70"/>
      <c r="B18" s="104"/>
      <c r="C18" s="12"/>
      <c r="D18" s="12"/>
      <c r="E18" s="12"/>
      <c r="F18" s="12"/>
      <c r="G18" s="12"/>
      <c r="H18" s="3"/>
      <c r="I18" s="29" t="b">
        <f t="shared" ref="I18:N18" si="14">I17=B26</f>
        <v>1</v>
      </c>
      <c r="J18" s="29" t="b">
        <f t="shared" si="14"/>
        <v>1</v>
      </c>
      <c r="K18" s="29" t="b">
        <f t="shared" si="14"/>
        <v>1</v>
      </c>
      <c r="L18" s="29" t="b">
        <f t="shared" si="14"/>
        <v>1</v>
      </c>
      <c r="M18" s="29" t="b">
        <f t="shared" si="14"/>
        <v>1</v>
      </c>
      <c r="N18" s="29" t="b">
        <f t="shared" si="14"/>
        <v>1</v>
      </c>
    </row>
    <row r="19" spans="1:14" x14ac:dyDescent="0.3">
      <c r="A19" s="63" t="s">
        <v>117</v>
      </c>
      <c r="B19" s="109" t="str">
        <f t="shared" ref="B19:G19" si="15">B1</f>
        <v>20-21</v>
      </c>
      <c r="C19" s="62" t="str">
        <f t="shared" si="15"/>
        <v>21-22</v>
      </c>
      <c r="D19" s="62" t="str">
        <f t="shared" si="15"/>
        <v>22-23</v>
      </c>
      <c r="E19" s="62" t="str">
        <f t="shared" si="15"/>
        <v>23-24</v>
      </c>
      <c r="F19" s="62" t="str">
        <f t="shared" ref="F19" si="16">F1</f>
        <v>24-25</v>
      </c>
      <c r="G19" s="62" t="str">
        <f t="shared" si="15"/>
        <v>25-26</v>
      </c>
      <c r="H19" s="3"/>
      <c r="I19" s="29"/>
      <c r="J19" s="29"/>
      <c r="K19" s="29"/>
      <c r="L19" s="29"/>
      <c r="M19" s="29"/>
      <c r="N19" s="29"/>
    </row>
    <row r="20" spans="1:14" x14ac:dyDescent="0.3">
      <c r="A20" s="82" t="s">
        <v>116</v>
      </c>
      <c r="B20" s="104">
        <f>B17*0.1</f>
        <v>68.8</v>
      </c>
      <c r="C20" s="104">
        <f t="shared" ref="C20:G20" si="17">C17*0.1</f>
        <v>80.7</v>
      </c>
      <c r="D20" s="104">
        <f t="shared" si="17"/>
        <v>89.5</v>
      </c>
      <c r="E20" s="104">
        <f t="shared" si="17"/>
        <v>95.7</v>
      </c>
      <c r="F20" s="104">
        <f t="shared" si="17"/>
        <v>98.800000000000011</v>
      </c>
      <c r="G20" s="104">
        <f t="shared" si="17"/>
        <v>98.800000000000011</v>
      </c>
      <c r="H20" s="3"/>
      <c r="I20" s="29"/>
      <c r="J20" s="29"/>
      <c r="K20" s="29"/>
      <c r="L20" s="29"/>
      <c r="M20" s="29"/>
      <c r="N20" s="29"/>
    </row>
    <row r="21" spans="1:14" x14ac:dyDescent="0.3">
      <c r="A21" s="82" t="s">
        <v>115</v>
      </c>
      <c r="B21" s="104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3"/>
      <c r="I21" s="29">
        <v>43000</v>
      </c>
      <c r="J21" s="29">
        <f>I21*1.02</f>
        <v>43860</v>
      </c>
      <c r="K21" s="29">
        <f t="shared" ref="K21:N21" si="18">J21*1.02</f>
        <v>44737.200000000004</v>
      </c>
      <c r="L21" s="29">
        <f t="shared" si="18"/>
        <v>45631.944000000003</v>
      </c>
      <c r="M21" s="29">
        <f t="shared" si="18"/>
        <v>46544.582880000002</v>
      </c>
      <c r="N21" s="29">
        <f t="shared" si="18"/>
        <v>47475.474537599999</v>
      </c>
    </row>
    <row r="22" spans="1:14" x14ac:dyDescent="0.3">
      <c r="A22" s="82" t="s">
        <v>114</v>
      </c>
      <c r="B22" s="104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3"/>
    </row>
    <row r="23" spans="1:14" x14ac:dyDescent="0.3">
      <c r="A23" s="82" t="s">
        <v>113</v>
      </c>
      <c r="B23" s="104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3"/>
    </row>
    <row r="24" spans="1:14" x14ac:dyDescent="0.3">
      <c r="A24" s="69"/>
      <c r="B24" s="110"/>
      <c r="C24" s="68"/>
      <c r="D24" s="68"/>
      <c r="E24" s="68"/>
      <c r="F24" s="68"/>
      <c r="G24" s="68"/>
      <c r="H24" s="3"/>
    </row>
    <row r="25" spans="1:14" x14ac:dyDescent="0.3">
      <c r="A25" s="63" t="s">
        <v>112</v>
      </c>
      <c r="B25" s="109" t="str">
        <f t="shared" ref="B25:G25" si="19">B1</f>
        <v>20-21</v>
      </c>
      <c r="C25" s="62" t="str">
        <f t="shared" si="19"/>
        <v>21-22</v>
      </c>
      <c r="D25" s="62" t="str">
        <f t="shared" si="19"/>
        <v>22-23</v>
      </c>
      <c r="E25" s="62" t="str">
        <f t="shared" si="19"/>
        <v>23-24</v>
      </c>
      <c r="F25" s="62" t="str">
        <f t="shared" ref="F25" si="20">F1</f>
        <v>24-25</v>
      </c>
      <c r="G25" s="62" t="str">
        <f t="shared" si="19"/>
        <v>25-26</v>
      </c>
      <c r="H25" s="3"/>
    </row>
    <row r="26" spans="1:14" x14ac:dyDescent="0.3">
      <c r="A26" s="60" t="s">
        <v>111</v>
      </c>
      <c r="B26" s="111">
        <f>(SUM(B4:B5)/25)+(SUM(B6:B9)/26)+(SUM(B10:B12)/31)</f>
        <v>26</v>
      </c>
      <c r="C26" s="111">
        <f t="shared" ref="C26:G26" si="21">(SUM(C4:C5)/25)+(SUM(C6:C9)/26)+(SUM(C10:C12)/31)</f>
        <v>30</v>
      </c>
      <c r="D26" s="111">
        <f t="shared" si="21"/>
        <v>33</v>
      </c>
      <c r="E26" s="111">
        <f t="shared" si="21"/>
        <v>35</v>
      </c>
      <c r="F26" s="111">
        <f t="shared" ref="F26" si="22">(SUM(F4:F5)/25)+(SUM(F6:F9)/26)+(SUM(F10:F12)/31)</f>
        <v>36</v>
      </c>
      <c r="G26" s="111">
        <f t="shared" si="21"/>
        <v>36</v>
      </c>
      <c r="H26" s="3"/>
      <c r="I26" s="29"/>
    </row>
    <row r="27" spans="1:14" x14ac:dyDescent="0.3">
      <c r="A27" s="60" t="s">
        <v>64</v>
      </c>
      <c r="B27" s="141">
        <v>3</v>
      </c>
      <c r="C27" s="140">
        <v>4</v>
      </c>
      <c r="D27" s="140">
        <v>4</v>
      </c>
      <c r="E27" s="140">
        <v>4</v>
      </c>
      <c r="F27" s="140">
        <v>4</v>
      </c>
      <c r="G27" s="140">
        <v>4</v>
      </c>
      <c r="H27" s="3"/>
    </row>
    <row r="28" spans="1:14" x14ac:dyDescent="0.3">
      <c r="A28" s="60" t="s">
        <v>110</v>
      </c>
      <c r="B28" s="111">
        <v>1</v>
      </c>
      <c r="C28" s="111">
        <v>1</v>
      </c>
      <c r="D28" s="111">
        <v>1</v>
      </c>
      <c r="E28" s="111">
        <v>1</v>
      </c>
      <c r="F28" s="111">
        <v>1</v>
      </c>
      <c r="G28" s="111">
        <v>1</v>
      </c>
      <c r="H28" s="3"/>
    </row>
    <row r="29" spans="1:14" x14ac:dyDescent="0.3">
      <c r="A29" s="60" t="s">
        <v>109</v>
      </c>
      <c r="B29" s="141">
        <v>0.5</v>
      </c>
      <c r="C29" s="111">
        <v>1</v>
      </c>
      <c r="D29" s="111">
        <v>1</v>
      </c>
      <c r="E29" s="111">
        <v>1</v>
      </c>
      <c r="F29" s="111">
        <v>1</v>
      </c>
      <c r="G29" s="111">
        <v>1</v>
      </c>
      <c r="H29" s="3"/>
    </row>
    <row r="30" spans="1:14" x14ac:dyDescent="0.3">
      <c r="A30" s="60" t="s">
        <v>108</v>
      </c>
      <c r="B30" s="111">
        <v>1</v>
      </c>
      <c r="C30" s="111">
        <v>1</v>
      </c>
      <c r="D30" s="111">
        <v>1</v>
      </c>
      <c r="E30" s="111">
        <v>1</v>
      </c>
      <c r="F30" s="111">
        <v>1</v>
      </c>
      <c r="G30" s="111">
        <v>1</v>
      </c>
      <c r="H30" s="3"/>
    </row>
    <row r="31" spans="1:14" x14ac:dyDescent="0.3">
      <c r="A31" s="60" t="s">
        <v>107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3"/>
    </row>
    <row r="32" spans="1:14" x14ac:dyDescent="0.3">
      <c r="A32" s="66" t="s">
        <v>106</v>
      </c>
      <c r="B32" s="111">
        <v>1</v>
      </c>
      <c r="C32" s="111">
        <v>1</v>
      </c>
      <c r="D32" s="111">
        <v>1</v>
      </c>
      <c r="E32" s="111">
        <v>1</v>
      </c>
      <c r="F32" s="111">
        <v>1</v>
      </c>
      <c r="G32" s="111">
        <v>1</v>
      </c>
      <c r="H32" s="3"/>
    </row>
    <row r="33" spans="1:14" x14ac:dyDescent="0.3">
      <c r="A33" s="66" t="s">
        <v>105</v>
      </c>
      <c r="B33" s="111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3"/>
    </row>
    <row r="34" spans="1:14" x14ac:dyDescent="0.3">
      <c r="A34" s="66" t="s">
        <v>104</v>
      </c>
      <c r="B34" s="111">
        <v>1</v>
      </c>
      <c r="C34" s="111">
        <v>1</v>
      </c>
      <c r="D34" s="111">
        <v>1</v>
      </c>
      <c r="E34" s="111">
        <v>1</v>
      </c>
      <c r="F34" s="111">
        <v>1</v>
      </c>
      <c r="G34" s="111">
        <v>1</v>
      </c>
      <c r="H34" s="3"/>
    </row>
    <row r="35" spans="1:14" x14ac:dyDescent="0.3">
      <c r="A35" s="66" t="s">
        <v>103</v>
      </c>
      <c r="B35" s="111">
        <v>0</v>
      </c>
      <c r="C35" s="67">
        <v>0</v>
      </c>
      <c r="D35" s="67">
        <v>1</v>
      </c>
      <c r="E35" s="67">
        <v>1</v>
      </c>
      <c r="F35" s="67">
        <v>1</v>
      </c>
      <c r="G35" s="67">
        <v>2</v>
      </c>
      <c r="H35" s="3"/>
    </row>
    <row r="36" spans="1:14" x14ac:dyDescent="0.3">
      <c r="A36" s="42" t="s">
        <v>102</v>
      </c>
      <c r="B36" s="112">
        <f t="shared" ref="B36:G36" si="23">SUM(B26:B35)</f>
        <v>33.5</v>
      </c>
      <c r="C36" s="65">
        <f t="shared" si="23"/>
        <v>39</v>
      </c>
      <c r="D36" s="65">
        <f t="shared" si="23"/>
        <v>43</v>
      </c>
      <c r="E36" s="65">
        <f t="shared" si="23"/>
        <v>45</v>
      </c>
      <c r="F36" s="65">
        <f t="shared" ref="F36" si="24">SUM(F26:F35)</f>
        <v>46</v>
      </c>
      <c r="G36" s="65">
        <f t="shared" si="23"/>
        <v>47</v>
      </c>
      <c r="H36" s="3"/>
      <c r="I36" s="192">
        <f>B36-B27</f>
        <v>30.5</v>
      </c>
      <c r="J36" s="192">
        <f t="shared" ref="J36:N36" si="25">C36-C27</f>
        <v>35</v>
      </c>
      <c r="K36" s="192">
        <f t="shared" si="25"/>
        <v>39</v>
      </c>
      <c r="L36" s="192">
        <f t="shared" si="25"/>
        <v>41</v>
      </c>
      <c r="M36" s="192">
        <f t="shared" si="25"/>
        <v>42</v>
      </c>
      <c r="N36" s="192">
        <f t="shared" si="25"/>
        <v>43</v>
      </c>
    </row>
    <row r="37" spans="1:14" x14ac:dyDescent="0.3">
      <c r="A37" s="36"/>
      <c r="B37" s="113"/>
      <c r="C37" s="64"/>
      <c r="D37" s="64"/>
      <c r="E37" s="64"/>
      <c r="F37" s="64"/>
      <c r="G37" s="64"/>
      <c r="H37" s="3"/>
    </row>
    <row r="38" spans="1:14" x14ac:dyDescent="0.3">
      <c r="A38" s="63" t="s">
        <v>101</v>
      </c>
      <c r="B38" s="109" t="str">
        <f t="shared" ref="B38:G38" si="26">B1</f>
        <v>20-21</v>
      </c>
      <c r="C38" s="62" t="str">
        <f t="shared" si="26"/>
        <v>21-22</v>
      </c>
      <c r="D38" s="62" t="str">
        <f t="shared" si="26"/>
        <v>22-23</v>
      </c>
      <c r="E38" s="62" t="str">
        <f t="shared" si="26"/>
        <v>23-24</v>
      </c>
      <c r="F38" s="62" t="str">
        <f t="shared" ref="F38" si="27">F1</f>
        <v>24-25</v>
      </c>
      <c r="G38" s="62" t="str">
        <f t="shared" si="26"/>
        <v>25-26</v>
      </c>
      <c r="H38" s="3"/>
    </row>
    <row r="39" spans="1:14" x14ac:dyDescent="0.3">
      <c r="A39" s="60" t="s">
        <v>100</v>
      </c>
      <c r="B39" s="111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3"/>
    </row>
    <row r="40" spans="1:14" x14ac:dyDescent="0.3">
      <c r="A40" s="60" t="s">
        <v>70</v>
      </c>
      <c r="B40" s="111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3"/>
    </row>
    <row r="41" spans="1:14" x14ac:dyDescent="0.3">
      <c r="A41" s="60" t="s">
        <v>99</v>
      </c>
      <c r="B41" s="111">
        <v>1</v>
      </c>
      <c r="C41" s="67">
        <v>1</v>
      </c>
      <c r="D41" s="67">
        <v>2</v>
      </c>
      <c r="E41" s="67">
        <v>2</v>
      </c>
      <c r="F41" s="67">
        <v>2</v>
      </c>
      <c r="G41" s="67">
        <v>2</v>
      </c>
      <c r="H41" s="3"/>
    </row>
    <row r="42" spans="1:14" x14ac:dyDescent="0.3">
      <c r="A42" s="61" t="s">
        <v>98</v>
      </c>
      <c r="B42" s="111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3"/>
    </row>
    <row r="43" spans="1:14" x14ac:dyDescent="0.3">
      <c r="A43" s="61" t="s">
        <v>97</v>
      </c>
      <c r="B43" s="111">
        <v>0</v>
      </c>
      <c r="C43" s="67">
        <v>1</v>
      </c>
      <c r="D43" s="67">
        <v>1</v>
      </c>
      <c r="E43" s="67">
        <v>1</v>
      </c>
      <c r="F43" s="67">
        <v>1</v>
      </c>
      <c r="G43" s="67">
        <v>1</v>
      </c>
      <c r="H43" s="3"/>
    </row>
    <row r="44" spans="1:14" x14ac:dyDescent="0.3">
      <c r="A44" s="61" t="s">
        <v>67</v>
      </c>
      <c r="B44" s="111">
        <v>0</v>
      </c>
      <c r="C44" s="67">
        <v>1</v>
      </c>
      <c r="D44" s="67">
        <v>1</v>
      </c>
      <c r="E44" s="67">
        <v>1</v>
      </c>
      <c r="F44" s="67">
        <v>1</v>
      </c>
      <c r="G44" s="67">
        <v>1</v>
      </c>
      <c r="H44" s="3"/>
    </row>
    <row r="45" spans="1:14" x14ac:dyDescent="0.3">
      <c r="A45" s="60" t="s">
        <v>96</v>
      </c>
      <c r="B45" s="111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3"/>
    </row>
    <row r="46" spans="1:14" x14ac:dyDescent="0.3">
      <c r="A46" s="60" t="s">
        <v>95</v>
      </c>
      <c r="B46" s="111">
        <v>1</v>
      </c>
      <c r="C46" s="67">
        <v>1</v>
      </c>
      <c r="D46" s="67">
        <v>1</v>
      </c>
      <c r="E46" s="67">
        <v>1</v>
      </c>
      <c r="F46" s="67">
        <v>1</v>
      </c>
      <c r="G46" s="67">
        <v>1</v>
      </c>
      <c r="H46" s="3"/>
    </row>
    <row r="47" spans="1:14" x14ac:dyDescent="0.3">
      <c r="A47" s="60" t="s">
        <v>94</v>
      </c>
      <c r="B47" s="111">
        <v>1</v>
      </c>
      <c r="C47" s="67">
        <v>1</v>
      </c>
      <c r="D47" s="67">
        <v>1</v>
      </c>
      <c r="E47" s="67">
        <v>1</v>
      </c>
      <c r="F47" s="67">
        <v>1</v>
      </c>
      <c r="G47" s="67">
        <v>1</v>
      </c>
      <c r="H47" s="3"/>
    </row>
    <row r="48" spans="1:14" x14ac:dyDescent="0.3">
      <c r="A48" s="60" t="s">
        <v>93</v>
      </c>
      <c r="B48" s="111">
        <v>1</v>
      </c>
      <c r="C48" s="67">
        <v>1</v>
      </c>
      <c r="D48" s="67">
        <v>1</v>
      </c>
      <c r="E48" s="67">
        <v>1</v>
      </c>
      <c r="F48" s="67">
        <v>1</v>
      </c>
      <c r="G48" s="67">
        <v>1</v>
      </c>
      <c r="H48" s="3"/>
    </row>
    <row r="49" spans="1:8" x14ac:dyDescent="0.3">
      <c r="A49" s="60" t="s">
        <v>152</v>
      </c>
      <c r="B49" s="111">
        <v>6</v>
      </c>
      <c r="C49" s="67">
        <v>7</v>
      </c>
      <c r="D49" s="67">
        <v>7</v>
      </c>
      <c r="E49" s="67">
        <v>8</v>
      </c>
      <c r="F49" s="67">
        <v>9</v>
      </c>
      <c r="G49" s="67">
        <v>10</v>
      </c>
      <c r="H49" s="3"/>
    </row>
    <row r="50" spans="1:8" x14ac:dyDescent="0.3">
      <c r="A50" s="60" t="s">
        <v>92</v>
      </c>
      <c r="B50" s="111">
        <v>2</v>
      </c>
      <c r="C50" s="67">
        <v>2</v>
      </c>
      <c r="D50" s="67">
        <v>2</v>
      </c>
      <c r="E50" s="67">
        <v>2</v>
      </c>
      <c r="F50" s="67">
        <v>2</v>
      </c>
      <c r="G50" s="67">
        <v>2</v>
      </c>
      <c r="H50" s="3"/>
    </row>
    <row r="51" spans="1:8" x14ac:dyDescent="0.3">
      <c r="A51" s="60" t="s">
        <v>53</v>
      </c>
      <c r="B51" s="111">
        <v>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3"/>
    </row>
    <row r="52" spans="1:8" x14ac:dyDescent="0.3">
      <c r="A52" s="19" t="s">
        <v>57</v>
      </c>
      <c r="B52" s="111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3"/>
    </row>
    <row r="53" spans="1:8" x14ac:dyDescent="0.3">
      <c r="A53" s="19" t="s">
        <v>56</v>
      </c>
      <c r="B53" s="111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3"/>
    </row>
    <row r="54" spans="1:8" x14ac:dyDescent="0.3">
      <c r="A54" s="19" t="s">
        <v>55</v>
      </c>
      <c r="B54" s="111">
        <v>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3"/>
    </row>
    <row r="55" spans="1:8" x14ac:dyDescent="0.3">
      <c r="A55" s="19" t="s">
        <v>54</v>
      </c>
      <c r="B55" s="111">
        <v>0</v>
      </c>
      <c r="C55" s="67">
        <v>0</v>
      </c>
      <c r="D55" s="67">
        <v>0</v>
      </c>
      <c r="E55" s="67">
        <v>1</v>
      </c>
      <c r="F55" s="67">
        <v>1</v>
      </c>
      <c r="G55" s="67">
        <v>1</v>
      </c>
      <c r="H55" s="3"/>
    </row>
    <row r="56" spans="1:8" x14ac:dyDescent="0.3">
      <c r="A56" s="19" t="s">
        <v>253</v>
      </c>
      <c r="B56" s="111">
        <v>1</v>
      </c>
      <c r="C56" s="67">
        <v>1</v>
      </c>
      <c r="D56" s="67">
        <v>1</v>
      </c>
      <c r="E56" s="67">
        <v>1</v>
      </c>
      <c r="F56" s="67">
        <v>1</v>
      </c>
      <c r="G56" s="67">
        <v>1</v>
      </c>
      <c r="H56" s="3"/>
    </row>
    <row r="57" spans="1:8" x14ac:dyDescent="0.3">
      <c r="A57" s="59"/>
      <c r="B57" s="114"/>
      <c r="C57" s="58"/>
      <c r="D57" s="58"/>
      <c r="E57" s="58"/>
      <c r="F57" s="58"/>
      <c r="G57" s="58"/>
      <c r="H57" s="3"/>
    </row>
    <row r="58" spans="1:8" x14ac:dyDescent="0.3">
      <c r="A58" s="42" t="s">
        <v>89</v>
      </c>
      <c r="B58" s="115">
        <f t="shared" ref="B58:G58" si="28">SUM(B39:B57)</f>
        <v>15</v>
      </c>
      <c r="C58" s="57">
        <f t="shared" si="28"/>
        <v>18</v>
      </c>
      <c r="D58" s="57">
        <f t="shared" si="28"/>
        <v>19</v>
      </c>
      <c r="E58" s="57">
        <f t="shared" si="28"/>
        <v>21</v>
      </c>
      <c r="F58" s="57">
        <f t="shared" si="28"/>
        <v>22</v>
      </c>
      <c r="G58" s="57">
        <f t="shared" si="28"/>
        <v>23</v>
      </c>
      <c r="H58" s="3"/>
    </row>
    <row r="59" spans="1:8" x14ac:dyDescent="0.3">
      <c r="A59" s="56"/>
      <c r="B59" s="116"/>
      <c r="C59" s="55"/>
      <c r="D59" s="55"/>
      <c r="E59" s="55"/>
      <c r="F59" s="55"/>
      <c r="G59" s="55"/>
      <c r="H59" s="3"/>
    </row>
    <row r="60" spans="1:8" x14ac:dyDescent="0.3">
      <c r="A60" s="54" t="s">
        <v>88</v>
      </c>
      <c r="B60" s="117">
        <f t="shared" ref="B60:G60" si="29">B36</f>
        <v>33.5</v>
      </c>
      <c r="C60" s="53">
        <f t="shared" si="29"/>
        <v>39</v>
      </c>
      <c r="D60" s="53">
        <f t="shared" si="29"/>
        <v>43</v>
      </c>
      <c r="E60" s="53">
        <f t="shared" si="29"/>
        <v>45</v>
      </c>
      <c r="F60" s="53">
        <f t="shared" si="29"/>
        <v>46</v>
      </c>
      <c r="G60" s="53">
        <f t="shared" si="29"/>
        <v>47</v>
      </c>
      <c r="H60" s="3"/>
    </row>
    <row r="61" spans="1:8" ht="15" thickBot="1" x14ac:dyDescent="0.35">
      <c r="A61" s="52" t="s">
        <v>87</v>
      </c>
      <c r="B61" s="118">
        <f t="shared" ref="B61:G61" si="30">B58</f>
        <v>15</v>
      </c>
      <c r="C61" s="51">
        <f t="shared" si="30"/>
        <v>18</v>
      </c>
      <c r="D61" s="51">
        <f t="shared" si="30"/>
        <v>19</v>
      </c>
      <c r="E61" s="51">
        <f t="shared" si="30"/>
        <v>21</v>
      </c>
      <c r="F61" s="51">
        <f t="shared" ref="F61" si="31">F58</f>
        <v>22</v>
      </c>
      <c r="G61" s="51">
        <f t="shared" si="30"/>
        <v>23</v>
      </c>
      <c r="H61" s="3"/>
    </row>
    <row r="62" spans="1:8" x14ac:dyDescent="0.3">
      <c r="A62" s="50" t="s">
        <v>86</v>
      </c>
      <c r="B62" s="119">
        <f t="shared" ref="B62:G62" si="32">SUM(B60:B61)</f>
        <v>48.5</v>
      </c>
      <c r="C62" s="49">
        <f t="shared" si="32"/>
        <v>57</v>
      </c>
      <c r="D62" s="49">
        <f t="shared" si="32"/>
        <v>62</v>
      </c>
      <c r="E62" s="49">
        <f t="shared" si="32"/>
        <v>66</v>
      </c>
      <c r="F62" s="49">
        <f t="shared" ref="F62" si="33">SUM(F60:F61)</f>
        <v>68</v>
      </c>
      <c r="G62" s="49">
        <f t="shared" si="32"/>
        <v>70</v>
      </c>
      <c r="H62" s="3"/>
    </row>
    <row r="63" spans="1:8" x14ac:dyDescent="0.3">
      <c r="A63" s="19"/>
      <c r="B63" s="120"/>
      <c r="C63" s="48"/>
      <c r="D63" s="48"/>
      <c r="E63" s="48"/>
      <c r="F63" s="48"/>
      <c r="G63" s="48"/>
      <c r="H63" s="3"/>
    </row>
    <row r="64" spans="1:8" x14ac:dyDescent="0.3">
      <c r="A64" s="47" t="s">
        <v>85</v>
      </c>
      <c r="B64" s="121">
        <f>B113/(B158+B161+B162+B163)</f>
        <v>0.58134082702250545</v>
      </c>
      <c r="C64" s="81">
        <f t="shared" ref="C64:G64" si="34">C113/(C158+C161+C162+C163)</f>
        <v>0.56703945842264381</v>
      </c>
      <c r="D64" s="81">
        <f t="shared" si="34"/>
        <v>0.56802737358554956</v>
      </c>
      <c r="E64" s="81">
        <f t="shared" si="34"/>
        <v>0.56538050076613067</v>
      </c>
      <c r="F64" s="81">
        <f t="shared" ref="F64" si="35">F113/(F158+F161+F162+F163)</f>
        <v>0.57215256462588704</v>
      </c>
      <c r="G64" s="81">
        <f t="shared" si="34"/>
        <v>0.58281239207648328</v>
      </c>
      <c r="H64" s="3"/>
    </row>
    <row r="65" spans="1:9" x14ac:dyDescent="0.3">
      <c r="A65" s="36" t="s">
        <v>84</v>
      </c>
      <c r="B65" s="122">
        <f t="shared" ref="B65:G65" si="36">(B91+B92)/B107</f>
        <v>0.7337883959044369</v>
      </c>
      <c r="C65" s="46">
        <f t="shared" si="36"/>
        <v>0.72065369197356755</v>
      </c>
      <c r="D65" s="46">
        <f t="shared" si="36"/>
        <v>0.7191777572483522</v>
      </c>
      <c r="E65" s="46">
        <f t="shared" si="36"/>
        <v>0.71338037372241225</v>
      </c>
      <c r="F65" s="46">
        <f t="shared" ref="F65" si="37">(F91+F92)/F107</f>
        <v>0.71328677092346215</v>
      </c>
      <c r="G65" s="46">
        <f t="shared" si="36"/>
        <v>0.71322950806527763</v>
      </c>
      <c r="H65" s="3"/>
    </row>
    <row r="66" spans="1:9" x14ac:dyDescent="0.3">
      <c r="A66" s="47" t="s">
        <v>83</v>
      </c>
      <c r="B66" s="121">
        <f t="shared" ref="B66:G66" si="38">(B86+B87+B88+B89+B90+B93+B94+B95+B96+B100+B101+B102+B103+B106+B104+B105)/B107</f>
        <v>0.26621160409556316</v>
      </c>
      <c r="C66" s="81">
        <f t="shared" si="38"/>
        <v>0.27934630802643245</v>
      </c>
      <c r="D66" s="81">
        <f t="shared" si="38"/>
        <v>0.28082224275164791</v>
      </c>
      <c r="E66" s="81">
        <f t="shared" si="38"/>
        <v>0.28661962627758764</v>
      </c>
      <c r="F66" s="81">
        <f t="shared" ref="F66" si="39">(F86+F87+F88+F89+F90+F93+F94+F95+F96+F100+F101+F102+F103+F106+F104+F105)/F107</f>
        <v>0.28671322907653785</v>
      </c>
      <c r="G66" s="81">
        <f t="shared" si="38"/>
        <v>0.28677049193472237</v>
      </c>
      <c r="H66" s="3"/>
    </row>
    <row r="67" spans="1:9" x14ac:dyDescent="0.3">
      <c r="A67" s="36" t="s">
        <v>82</v>
      </c>
      <c r="B67" s="122">
        <f t="shared" ref="B67:G67" si="40">(B161+B162+B163)/(B158+B161+B162+B163)</f>
        <v>0.14824454297259937</v>
      </c>
      <c r="C67" s="46">
        <f t="shared" si="40"/>
        <v>0.15589944133831388</v>
      </c>
      <c r="D67" s="46">
        <f t="shared" si="40"/>
        <v>0.16217043860986105</v>
      </c>
      <c r="E67" s="46">
        <f t="shared" si="40"/>
        <v>0.16909770596819768</v>
      </c>
      <c r="F67" s="46">
        <f t="shared" ref="F67" si="41">(F161+F162+F163)/(F158+F161+F162+F163)</f>
        <v>0.17305986058447426</v>
      </c>
      <c r="G67" s="46">
        <f t="shared" si="40"/>
        <v>0.17477549292601566</v>
      </c>
      <c r="H67" s="3"/>
    </row>
    <row r="68" spans="1:9" x14ac:dyDescent="0.3">
      <c r="A68" s="45"/>
      <c r="B68" s="123"/>
      <c r="C68" s="44"/>
      <c r="D68" s="44"/>
      <c r="E68" s="44"/>
      <c r="F68" s="44"/>
      <c r="G68" s="44"/>
      <c r="H68" s="3"/>
    </row>
    <row r="69" spans="1:9" x14ac:dyDescent="0.3">
      <c r="A69" s="37"/>
      <c r="B69" s="124"/>
      <c r="C69" s="10"/>
      <c r="D69" s="10"/>
      <c r="E69" s="10"/>
      <c r="F69" s="10"/>
      <c r="G69" s="10"/>
      <c r="H69" s="3"/>
    </row>
    <row r="70" spans="1:9" x14ac:dyDescent="0.3">
      <c r="A70" s="36" t="s">
        <v>254</v>
      </c>
      <c r="B70" s="125"/>
      <c r="C70" s="43"/>
      <c r="D70" s="43"/>
      <c r="E70" s="43"/>
      <c r="F70" s="43"/>
      <c r="G70" s="43"/>
      <c r="H70" s="3"/>
    </row>
    <row r="71" spans="1:9" x14ac:dyDescent="0.3">
      <c r="A71" s="41" t="s">
        <v>80</v>
      </c>
      <c r="B71" s="126">
        <f t="shared" ref="B71:G71" si="42">(B2*B3)*0.99</f>
        <v>5041650.24</v>
      </c>
      <c r="C71" s="20">
        <f t="shared" si="42"/>
        <v>5990557.6981799994</v>
      </c>
      <c r="D71" s="20">
        <f t="shared" si="42"/>
        <v>6730172.5882148985</v>
      </c>
      <c r="E71" s="20">
        <f t="shared" si="42"/>
        <v>7289949.9933984783</v>
      </c>
      <c r="F71" s="20">
        <f t="shared" si="42"/>
        <v>7623931.7776310416</v>
      </c>
      <c r="G71" s="20">
        <f t="shared" si="42"/>
        <v>7723042.8907402437</v>
      </c>
      <c r="H71" s="3"/>
    </row>
    <row r="72" spans="1:9" x14ac:dyDescent="0.3">
      <c r="A72" s="19" t="s">
        <v>153</v>
      </c>
      <c r="B72" s="126">
        <f>(B17*0.45)*3*180</f>
        <v>167184</v>
      </c>
      <c r="C72" s="126">
        <f>(C17*0.5)*3*180</f>
        <v>217890</v>
      </c>
      <c r="D72" s="126">
        <f>(D17*0.5)*3*180</f>
        <v>241650</v>
      </c>
      <c r="E72" s="126">
        <f>(E17*0.5)*3*180</f>
        <v>258390</v>
      </c>
      <c r="F72" s="126">
        <f>(F17*0.55)*3*180</f>
        <v>293436.00000000006</v>
      </c>
      <c r="G72" s="126">
        <f>(G17*0.55)*3*180</f>
        <v>293436.00000000006</v>
      </c>
      <c r="H72" s="3"/>
      <c r="I72" s="3">
        <f>B17</f>
        <v>688</v>
      </c>
    </row>
    <row r="73" spans="1:9" x14ac:dyDescent="0.3">
      <c r="A73" s="19" t="s">
        <v>78</v>
      </c>
      <c r="B73" s="126">
        <f>950*30</f>
        <v>28500</v>
      </c>
      <c r="C73" s="20">
        <f>950*B20</f>
        <v>65360</v>
      </c>
      <c r="D73" s="20">
        <f>950*C20</f>
        <v>76665</v>
      </c>
      <c r="E73" s="20">
        <f>950*D20</f>
        <v>85025</v>
      </c>
      <c r="F73" s="20">
        <f>950*E20</f>
        <v>90915</v>
      </c>
      <c r="G73" s="20">
        <f>950*F20</f>
        <v>93860.000000000015</v>
      </c>
      <c r="H73" s="3"/>
      <c r="I73" s="29">
        <f>I72*0.45</f>
        <v>309.60000000000002</v>
      </c>
    </row>
    <row r="74" spans="1:9" x14ac:dyDescent="0.3">
      <c r="A74" s="19" t="s">
        <v>74</v>
      </c>
      <c r="B74" s="126">
        <v>0</v>
      </c>
      <c r="C74" s="20">
        <f>3225*B20</f>
        <v>221880</v>
      </c>
      <c r="D74" s="20">
        <f>3225*C20</f>
        <v>260257.5</v>
      </c>
      <c r="E74" s="20">
        <f>3225*D20</f>
        <v>288637.5</v>
      </c>
      <c r="F74" s="20">
        <f>3225*E20</f>
        <v>308632.5</v>
      </c>
      <c r="G74" s="20">
        <f>3225*F20</f>
        <v>318630.00000000006</v>
      </c>
      <c r="H74" s="3"/>
      <c r="I74" s="29">
        <f>I73*3*180</f>
        <v>167184</v>
      </c>
    </row>
    <row r="75" spans="1:9" x14ac:dyDescent="0.3">
      <c r="A75" s="40" t="s">
        <v>133</v>
      </c>
      <c r="B75" s="126">
        <v>0</v>
      </c>
      <c r="C75" s="20">
        <v>0</v>
      </c>
      <c r="D75" s="20">
        <v>0</v>
      </c>
      <c r="E75" s="20">
        <v>0</v>
      </c>
      <c r="F75" s="12">
        <v>0</v>
      </c>
      <c r="G75" s="12">
        <v>0</v>
      </c>
      <c r="H75" s="3"/>
    </row>
    <row r="76" spans="1:9" x14ac:dyDescent="0.3">
      <c r="A76" s="42" t="s">
        <v>77</v>
      </c>
      <c r="B76" s="80">
        <f t="shared" ref="B76:E76" si="43">SUM(B71:B75)</f>
        <v>5237334.24</v>
      </c>
      <c r="C76" s="25">
        <f t="shared" si="43"/>
        <v>6495687.6981799994</v>
      </c>
      <c r="D76" s="25">
        <f t="shared" si="43"/>
        <v>7308745.0882148985</v>
      </c>
      <c r="E76" s="25">
        <f t="shared" si="43"/>
        <v>7922002.4933984783</v>
      </c>
      <c r="F76" s="25">
        <f>SUM(F71:F75)</f>
        <v>8316915.2776310416</v>
      </c>
      <c r="G76" s="25">
        <f>SUM(G71:G75)</f>
        <v>8428968.8907402437</v>
      </c>
      <c r="H76" s="3"/>
    </row>
    <row r="77" spans="1:9" x14ac:dyDescent="0.3">
      <c r="A77" s="41" t="s">
        <v>76</v>
      </c>
      <c r="B77" s="126">
        <f t="shared" ref="B77:G77" si="44">(B2*B3)</f>
        <v>5092576</v>
      </c>
      <c r="C77" s="20">
        <f t="shared" si="44"/>
        <v>6051068.3819999993</v>
      </c>
      <c r="D77" s="20">
        <f t="shared" si="44"/>
        <v>6798154.1295099985</v>
      </c>
      <c r="E77" s="20">
        <f t="shared" si="44"/>
        <v>7363585.8519176552</v>
      </c>
      <c r="F77" s="20">
        <f t="shared" si="44"/>
        <v>7700941.1895263046</v>
      </c>
      <c r="G77" s="20">
        <f t="shared" si="44"/>
        <v>7801053.4249901455</v>
      </c>
      <c r="H77" s="3"/>
    </row>
    <row r="78" spans="1:9" x14ac:dyDescent="0.3">
      <c r="A78" s="19" t="s">
        <v>153</v>
      </c>
      <c r="B78" s="126">
        <f t="shared" ref="B78:G78" si="45">B72</f>
        <v>167184</v>
      </c>
      <c r="C78" s="20">
        <f t="shared" si="45"/>
        <v>217890</v>
      </c>
      <c r="D78" s="20">
        <f t="shared" si="45"/>
        <v>241650</v>
      </c>
      <c r="E78" s="20">
        <f t="shared" si="45"/>
        <v>258390</v>
      </c>
      <c r="F78" s="20">
        <f t="shared" ref="F78" si="46">F72</f>
        <v>293436.00000000006</v>
      </c>
      <c r="G78" s="20">
        <f t="shared" si="45"/>
        <v>293436.00000000006</v>
      </c>
      <c r="H78" s="3"/>
    </row>
    <row r="79" spans="1:9" x14ac:dyDescent="0.3">
      <c r="A79" s="19" t="s">
        <v>75</v>
      </c>
      <c r="B79" s="126">
        <f t="shared" ref="B79:G79" si="47">B73</f>
        <v>28500</v>
      </c>
      <c r="C79" s="20">
        <f t="shared" si="47"/>
        <v>65360</v>
      </c>
      <c r="D79" s="20">
        <f t="shared" si="47"/>
        <v>76665</v>
      </c>
      <c r="E79" s="20">
        <f t="shared" si="47"/>
        <v>85025</v>
      </c>
      <c r="F79" s="20">
        <f t="shared" ref="F79" si="48">F73</f>
        <v>90915</v>
      </c>
      <c r="G79" s="20">
        <f t="shared" si="47"/>
        <v>93860.000000000015</v>
      </c>
      <c r="H79" s="3"/>
    </row>
    <row r="80" spans="1:9" x14ac:dyDescent="0.3">
      <c r="A80" s="19" t="s">
        <v>74</v>
      </c>
      <c r="B80" s="126">
        <f t="shared" ref="B80:G80" si="49">B74</f>
        <v>0</v>
      </c>
      <c r="C80" s="20">
        <f t="shared" si="49"/>
        <v>221880</v>
      </c>
      <c r="D80" s="20">
        <f t="shared" si="49"/>
        <v>260257.5</v>
      </c>
      <c r="E80" s="20">
        <f t="shared" si="49"/>
        <v>288637.5</v>
      </c>
      <c r="F80" s="20">
        <f t="shared" ref="F80" si="50">F74</f>
        <v>308632.5</v>
      </c>
      <c r="G80" s="20">
        <f t="shared" si="49"/>
        <v>318630.00000000006</v>
      </c>
      <c r="H80" s="3"/>
    </row>
    <row r="81" spans="1:15" x14ac:dyDescent="0.3">
      <c r="A81" s="40" t="s">
        <v>133</v>
      </c>
      <c r="B81" s="126">
        <f t="shared" ref="B81:G81" si="51">B75</f>
        <v>0</v>
      </c>
      <c r="C81" s="20">
        <f t="shared" si="51"/>
        <v>0</v>
      </c>
      <c r="D81" s="20">
        <f t="shared" si="51"/>
        <v>0</v>
      </c>
      <c r="E81" s="20">
        <f t="shared" si="51"/>
        <v>0</v>
      </c>
      <c r="F81" s="20">
        <f t="shared" ref="F81" si="52">F75</f>
        <v>0</v>
      </c>
      <c r="G81" s="20">
        <f t="shared" si="51"/>
        <v>0</v>
      </c>
      <c r="H81" s="3"/>
    </row>
    <row r="82" spans="1:15" x14ac:dyDescent="0.3">
      <c r="A82" s="39" t="s">
        <v>73</v>
      </c>
      <c r="B82" s="80">
        <f t="shared" ref="B82:E82" si="53">SUM(B77:B81)</f>
        <v>5288260</v>
      </c>
      <c r="C82" s="25">
        <f t="shared" si="53"/>
        <v>6556198.3819999993</v>
      </c>
      <c r="D82" s="25">
        <f t="shared" si="53"/>
        <v>7376726.6295099985</v>
      </c>
      <c r="E82" s="25">
        <f t="shared" si="53"/>
        <v>7995638.3519176552</v>
      </c>
      <c r="F82" s="25">
        <f>SUM(F77:F81)</f>
        <v>8393924.6895263046</v>
      </c>
      <c r="G82" s="25">
        <f>SUM(G77:G81)</f>
        <v>8506979.4249901455</v>
      </c>
      <c r="H82" s="3"/>
    </row>
    <row r="83" spans="1:15" x14ac:dyDescent="0.3">
      <c r="A83" s="37"/>
      <c r="B83" s="124"/>
      <c r="C83" s="10"/>
      <c r="D83" s="10"/>
      <c r="E83" s="10"/>
      <c r="F83" s="10"/>
      <c r="G83" s="10"/>
      <c r="H83" s="3"/>
    </row>
    <row r="84" spans="1:15" x14ac:dyDescent="0.3">
      <c r="A84" s="36" t="s">
        <v>72</v>
      </c>
      <c r="B84" s="127"/>
      <c r="C84" s="35"/>
      <c r="D84" s="35"/>
      <c r="E84" s="35"/>
      <c r="F84" s="35"/>
      <c r="G84" s="35"/>
      <c r="H84" s="3"/>
    </row>
    <row r="85" spans="1:15" x14ac:dyDescent="0.3">
      <c r="A85" s="34" t="s">
        <v>71</v>
      </c>
      <c r="B85" s="128" t="str">
        <f t="shared" ref="B85:G85" si="54">B1</f>
        <v>20-21</v>
      </c>
      <c r="C85" s="23" t="str">
        <f t="shared" si="54"/>
        <v>21-22</v>
      </c>
      <c r="D85" s="23" t="str">
        <f t="shared" si="54"/>
        <v>22-23</v>
      </c>
      <c r="E85" s="23" t="str">
        <f t="shared" si="54"/>
        <v>23-24</v>
      </c>
      <c r="F85" s="23" t="str">
        <f t="shared" si="54"/>
        <v>24-25</v>
      </c>
      <c r="G85" s="23" t="str">
        <f t="shared" si="54"/>
        <v>25-26</v>
      </c>
      <c r="H85" s="3"/>
    </row>
    <row r="86" spans="1:15" x14ac:dyDescent="0.3">
      <c r="A86" s="19" t="s">
        <v>70</v>
      </c>
      <c r="B86" s="126">
        <f>110000</f>
        <v>110000</v>
      </c>
      <c r="C86" s="20">
        <f>B86*1.02</f>
        <v>112200</v>
      </c>
      <c r="D86" s="20">
        <f t="shared" ref="D86:G86" si="55">C86*1.02</f>
        <v>114444</v>
      </c>
      <c r="E86" s="20">
        <f t="shared" si="55"/>
        <v>116732.88</v>
      </c>
      <c r="F86" s="20">
        <f t="shared" si="55"/>
        <v>119067.53760000001</v>
      </c>
      <c r="G86" s="20">
        <f t="shared" si="55"/>
        <v>121448.88835200001</v>
      </c>
      <c r="H86" s="3"/>
      <c r="I86" s="29"/>
    </row>
    <row r="87" spans="1:15" x14ac:dyDescent="0.3">
      <c r="A87" s="19" t="s">
        <v>69</v>
      </c>
      <c r="B87" s="126">
        <v>75000</v>
      </c>
      <c r="C87" s="20">
        <f>B87*1.02</f>
        <v>76500</v>
      </c>
      <c r="D87" s="20">
        <f>(C87*1.02)+75000</f>
        <v>153030</v>
      </c>
      <c r="E87" s="20">
        <f>D87*1.02</f>
        <v>156090.6</v>
      </c>
      <c r="F87" s="20">
        <f t="shared" ref="F87:G87" si="56">E87*1.02</f>
        <v>159212.41200000001</v>
      </c>
      <c r="G87" s="20">
        <f t="shared" si="56"/>
        <v>162396.66024000003</v>
      </c>
      <c r="H87" s="3"/>
      <c r="I87" s="29"/>
    </row>
    <row r="88" spans="1:15" x14ac:dyDescent="0.3">
      <c r="A88" s="19" t="s">
        <v>253</v>
      </c>
      <c r="B88" s="126">
        <v>57000</v>
      </c>
      <c r="C88" s="20">
        <f t="shared" ref="C88" si="57">B88*1.015</f>
        <v>57854.999999999993</v>
      </c>
      <c r="D88" s="20">
        <f>C88*1.02</f>
        <v>59012.099999999991</v>
      </c>
      <c r="E88" s="20">
        <f t="shared" ref="E88:G90" si="58">D88*1.02</f>
        <v>60192.34199999999</v>
      </c>
      <c r="F88" s="20">
        <f t="shared" si="58"/>
        <v>61396.188839999988</v>
      </c>
      <c r="G88" s="20">
        <f t="shared" si="58"/>
        <v>62624.11261679999</v>
      </c>
      <c r="H88" s="3"/>
      <c r="I88" s="29"/>
    </row>
    <row r="89" spans="1:15" x14ac:dyDescent="0.3">
      <c r="A89" s="19" t="s">
        <v>67</v>
      </c>
      <c r="B89" s="126">
        <v>0</v>
      </c>
      <c r="C89" s="20">
        <f>57000*C44</f>
        <v>57000</v>
      </c>
      <c r="D89" s="20">
        <f t="shared" ref="D89:D90" si="59">C89*1.02</f>
        <v>58140</v>
      </c>
      <c r="E89" s="20">
        <f t="shared" si="58"/>
        <v>59302.8</v>
      </c>
      <c r="F89" s="20">
        <f t="shared" si="58"/>
        <v>60488.856000000007</v>
      </c>
      <c r="G89" s="20">
        <f t="shared" si="58"/>
        <v>61698.633120000006</v>
      </c>
      <c r="H89" s="3"/>
      <c r="I89" s="29"/>
    </row>
    <row r="90" spans="1:15" x14ac:dyDescent="0.3">
      <c r="A90" s="19" t="s">
        <v>66</v>
      </c>
      <c r="B90" s="126">
        <v>0</v>
      </c>
      <c r="C90" s="20">
        <v>55000</v>
      </c>
      <c r="D90" s="20">
        <f t="shared" si="59"/>
        <v>56100</v>
      </c>
      <c r="E90" s="20">
        <f t="shared" si="58"/>
        <v>57222</v>
      </c>
      <c r="F90" s="20">
        <f t="shared" si="58"/>
        <v>58366.44</v>
      </c>
      <c r="G90" s="20">
        <f t="shared" si="58"/>
        <v>59533.768800000005</v>
      </c>
      <c r="H90" s="3"/>
      <c r="I90" s="29"/>
    </row>
    <row r="91" spans="1:15" x14ac:dyDescent="0.3">
      <c r="A91" s="19" t="s">
        <v>65</v>
      </c>
      <c r="B91" s="126">
        <f>(B36-B27)*43000</f>
        <v>1311500</v>
      </c>
      <c r="C91" s="20">
        <f>(C36-C27)*43860</f>
        <v>1535100</v>
      </c>
      <c r="D91" s="20">
        <f>(D36-D27)*44737.2</f>
        <v>1744750.7999999998</v>
      </c>
      <c r="E91" s="20">
        <f>(E36-E27)*45631.94</f>
        <v>1870909.54</v>
      </c>
      <c r="F91" s="20">
        <f>(F36-F27)*46544.58</f>
        <v>1954872.36</v>
      </c>
      <c r="G91" s="20">
        <f>(G36-G27)*47475.47</f>
        <v>2041445.21</v>
      </c>
      <c r="H91" s="3"/>
      <c r="I91" s="29">
        <v>43000</v>
      </c>
      <c r="J91" s="29">
        <f>I91*1.02</f>
        <v>43860</v>
      </c>
      <c r="K91" s="29">
        <f t="shared" ref="K91:N91" si="60">J91*1.02</f>
        <v>44737.200000000004</v>
      </c>
      <c r="L91" s="29">
        <f t="shared" si="60"/>
        <v>45631.944000000003</v>
      </c>
      <c r="M91" s="29">
        <f t="shared" si="60"/>
        <v>46544.582880000002</v>
      </c>
      <c r="N91" s="29">
        <f t="shared" si="60"/>
        <v>47475.474537599999</v>
      </c>
      <c r="O91" s="29"/>
    </row>
    <row r="92" spans="1:15" x14ac:dyDescent="0.3">
      <c r="A92" s="19" t="s">
        <v>64</v>
      </c>
      <c r="B92" s="126">
        <f>B27*43000</f>
        <v>129000</v>
      </c>
      <c r="C92" s="20">
        <f>C27*43860</f>
        <v>175440</v>
      </c>
      <c r="D92" s="20">
        <f>D27*44737.2</f>
        <v>178948.8</v>
      </c>
      <c r="E92" s="20">
        <f>E27*45631.94</f>
        <v>182527.76</v>
      </c>
      <c r="F92" s="20">
        <f>F27*46544.58</f>
        <v>186178.32</v>
      </c>
      <c r="G92" s="20">
        <f>G27*47475.47</f>
        <v>189901.88</v>
      </c>
      <c r="H92" s="3"/>
      <c r="I92" s="29">
        <v>43000</v>
      </c>
      <c r="J92" s="29">
        <f>I92*1.02</f>
        <v>43860</v>
      </c>
      <c r="K92" s="29">
        <f t="shared" ref="K92:N92" si="61">J92*1.02</f>
        <v>44737.200000000004</v>
      </c>
      <c r="L92" s="29">
        <f t="shared" si="61"/>
        <v>45631.944000000003</v>
      </c>
      <c r="M92" s="29">
        <f t="shared" si="61"/>
        <v>46544.582880000002</v>
      </c>
      <c r="N92" s="29">
        <f t="shared" si="61"/>
        <v>47475.474537599999</v>
      </c>
    </row>
    <row r="93" spans="1:15" x14ac:dyDescent="0.3">
      <c r="A93" s="19" t="s">
        <v>63</v>
      </c>
      <c r="B93" s="126">
        <f>((45000+40000))</f>
        <v>85000</v>
      </c>
      <c r="C93" s="20">
        <f>B93*1.02</f>
        <v>86700</v>
      </c>
      <c r="D93" s="20">
        <f t="shared" ref="D93:G93" si="62">C93*1.02</f>
        <v>88434</v>
      </c>
      <c r="E93" s="20">
        <f t="shared" si="62"/>
        <v>90202.680000000008</v>
      </c>
      <c r="F93" s="20">
        <f t="shared" si="62"/>
        <v>92006.733600000007</v>
      </c>
      <c r="G93" s="20">
        <f t="shared" si="62"/>
        <v>93846.868272000007</v>
      </c>
      <c r="H93" s="3"/>
      <c r="I93" s="29"/>
    </row>
    <row r="94" spans="1:15" x14ac:dyDescent="0.3">
      <c r="A94" s="19" t="s">
        <v>62</v>
      </c>
      <c r="B94" s="126">
        <f>(12.75*8*180)*(B47+B48)</f>
        <v>36720</v>
      </c>
      <c r="C94" s="126">
        <f>(13*8*180)*(C47+C48)</f>
        <v>37440</v>
      </c>
      <c r="D94" s="126">
        <f>(13.25*8*180)*(D47+D48)</f>
        <v>38160</v>
      </c>
      <c r="E94" s="126">
        <f>(13.5*8*180)*(E47+E48)</f>
        <v>38880</v>
      </c>
      <c r="F94" s="126">
        <f>(13.75*8*180)*(F47+F48)</f>
        <v>39600</v>
      </c>
      <c r="G94" s="126">
        <f>(14*8*180)*(G47+G48)</f>
        <v>40320</v>
      </c>
      <c r="H94" s="3"/>
      <c r="I94" s="29"/>
    </row>
    <row r="95" spans="1:15" x14ac:dyDescent="0.3">
      <c r="A95" s="19" t="s">
        <v>61</v>
      </c>
      <c r="B95" s="126">
        <f>(12.5*8*180)*B49</f>
        <v>108000</v>
      </c>
      <c r="C95" s="126">
        <f>(12.75*8*180)*C49</f>
        <v>128520</v>
      </c>
      <c r="D95" s="126">
        <f>(13*8*180)*D49</f>
        <v>131040</v>
      </c>
      <c r="E95" s="126">
        <f>(13.25*8*180)*E49</f>
        <v>152640</v>
      </c>
      <c r="F95" s="126">
        <f>(13.5*8*180)*F49</f>
        <v>174960</v>
      </c>
      <c r="G95" s="126">
        <f>(13.75*8*180)*G49</f>
        <v>198000</v>
      </c>
      <c r="H95" s="3"/>
      <c r="I95" s="29"/>
    </row>
    <row r="96" spans="1:15" x14ac:dyDescent="0.3">
      <c r="A96" s="19" t="s">
        <v>60</v>
      </c>
      <c r="B96" s="126">
        <f>(13.25*8*240)*B50</f>
        <v>50880</v>
      </c>
      <c r="C96" s="126">
        <f>(13.5*8*240)*C50</f>
        <v>51840</v>
      </c>
      <c r="D96" s="126">
        <f>(13.75*8*240)*D50</f>
        <v>52800</v>
      </c>
      <c r="E96" s="126">
        <f>(14*8*240)*E50</f>
        <v>53760</v>
      </c>
      <c r="F96" s="126">
        <f>(14.25*8*240)*F50</f>
        <v>54720</v>
      </c>
      <c r="G96" s="126">
        <f>(14.5*8*240)*G50</f>
        <v>55680</v>
      </c>
      <c r="H96" s="3"/>
      <c r="I96" s="29"/>
    </row>
    <row r="97" spans="1:20" x14ac:dyDescent="0.3">
      <c r="A97" s="32" t="s">
        <v>59</v>
      </c>
      <c r="B97" s="129">
        <f t="shared" ref="B97:G97" si="63">SUM(B86:B96)</f>
        <v>1963100</v>
      </c>
      <c r="C97" s="33">
        <f t="shared" si="63"/>
        <v>2373595</v>
      </c>
      <c r="D97" s="33">
        <f t="shared" si="63"/>
        <v>2674859.6999999997</v>
      </c>
      <c r="E97" s="33">
        <f t="shared" si="63"/>
        <v>2838460.6020000004</v>
      </c>
      <c r="F97" s="33">
        <f t="shared" ref="F97" si="64">SUM(F86:F96)</f>
        <v>2960868.8480400001</v>
      </c>
      <c r="G97" s="33">
        <f t="shared" si="63"/>
        <v>3086896.0214008</v>
      </c>
      <c r="H97" s="3"/>
    </row>
    <row r="98" spans="1:20" x14ac:dyDescent="0.3">
      <c r="A98" s="19"/>
      <c r="B98" s="104"/>
      <c r="C98" s="12"/>
      <c r="D98" s="12"/>
      <c r="E98" s="12"/>
      <c r="F98" s="12"/>
      <c r="G98" s="12"/>
      <c r="H98" s="3"/>
    </row>
    <row r="99" spans="1:20" x14ac:dyDescent="0.3">
      <c r="A99" s="32" t="s">
        <v>58</v>
      </c>
      <c r="B99" s="130"/>
      <c r="C99" s="31"/>
      <c r="D99" s="31"/>
      <c r="E99" s="31"/>
      <c r="F99" s="31"/>
      <c r="G99" s="31"/>
      <c r="H99" s="3"/>
    </row>
    <row r="100" spans="1:20" x14ac:dyDescent="0.3">
      <c r="A100" s="19" t="s">
        <v>57</v>
      </c>
      <c r="B100" s="126">
        <v>0</v>
      </c>
      <c r="C100" s="20">
        <f t="shared" ref="C100:E100" si="65">B100*1.015</f>
        <v>0</v>
      </c>
      <c r="D100" s="20">
        <f t="shared" si="65"/>
        <v>0</v>
      </c>
      <c r="E100" s="20">
        <f t="shared" si="65"/>
        <v>0</v>
      </c>
      <c r="F100" s="20">
        <f t="shared" ref="F100:G105" si="66">D100*1.015</f>
        <v>0</v>
      </c>
      <c r="G100" s="20">
        <f t="shared" si="66"/>
        <v>0</v>
      </c>
      <c r="H100" s="3"/>
    </row>
    <row r="101" spans="1:20" x14ac:dyDescent="0.3">
      <c r="A101" s="19" t="s">
        <v>56</v>
      </c>
      <c r="B101" s="126">
        <v>0</v>
      </c>
      <c r="C101" s="20">
        <f t="shared" ref="C101:E105" si="67">B101*1.015</f>
        <v>0</v>
      </c>
      <c r="D101" s="20">
        <f t="shared" si="67"/>
        <v>0</v>
      </c>
      <c r="E101" s="20">
        <f t="shared" si="67"/>
        <v>0</v>
      </c>
      <c r="F101" s="20">
        <f t="shared" si="66"/>
        <v>0</v>
      </c>
      <c r="G101" s="20">
        <f t="shared" si="66"/>
        <v>0</v>
      </c>
      <c r="H101" s="3"/>
      <c r="T101">
        <f>95*1.2</f>
        <v>114</v>
      </c>
    </row>
    <row r="102" spans="1:20" x14ac:dyDescent="0.3">
      <c r="A102" s="19" t="s">
        <v>55</v>
      </c>
      <c r="B102" s="126">
        <v>0</v>
      </c>
      <c r="C102" s="20">
        <f t="shared" si="67"/>
        <v>0</v>
      </c>
      <c r="D102" s="20">
        <f t="shared" si="67"/>
        <v>0</v>
      </c>
      <c r="E102" s="20">
        <f t="shared" si="67"/>
        <v>0</v>
      </c>
      <c r="F102" s="20">
        <f t="shared" si="66"/>
        <v>0</v>
      </c>
      <c r="G102" s="20">
        <f t="shared" si="66"/>
        <v>0</v>
      </c>
      <c r="H102" s="3"/>
      <c r="T102">
        <f>T101*0.3</f>
        <v>34.199999999999996</v>
      </c>
    </row>
    <row r="103" spans="1:20" x14ac:dyDescent="0.3">
      <c r="A103" s="19" t="s">
        <v>54</v>
      </c>
      <c r="B103" s="126">
        <v>0</v>
      </c>
      <c r="C103" s="20">
        <f t="shared" si="67"/>
        <v>0</v>
      </c>
      <c r="D103" s="20">
        <f t="shared" si="67"/>
        <v>0</v>
      </c>
      <c r="E103" s="20">
        <v>40000</v>
      </c>
      <c r="F103" s="20">
        <f>E103*1.02</f>
        <v>40800</v>
      </c>
      <c r="G103" s="20">
        <f>F103*1.02</f>
        <v>41616</v>
      </c>
      <c r="H103" s="3"/>
      <c r="I103" s="30"/>
      <c r="J103" s="30"/>
    </row>
    <row r="104" spans="1:20" x14ac:dyDescent="0.3">
      <c r="A104" s="19" t="s">
        <v>53</v>
      </c>
      <c r="B104" s="126">
        <v>0</v>
      </c>
      <c r="C104" s="20">
        <f t="shared" si="67"/>
        <v>0</v>
      </c>
      <c r="D104" s="20">
        <f t="shared" si="67"/>
        <v>0</v>
      </c>
      <c r="E104" s="20">
        <f t="shared" si="67"/>
        <v>0</v>
      </c>
      <c r="F104" s="20">
        <f t="shared" si="66"/>
        <v>0</v>
      </c>
      <c r="G104" s="20">
        <f t="shared" si="66"/>
        <v>0</v>
      </c>
      <c r="H104" s="3"/>
    </row>
    <row r="105" spans="1:20" x14ac:dyDescent="0.3">
      <c r="A105" s="19" t="s">
        <v>52</v>
      </c>
      <c r="B105" s="126">
        <v>0</v>
      </c>
      <c r="C105" s="20">
        <f t="shared" si="67"/>
        <v>0</v>
      </c>
      <c r="D105" s="20">
        <f t="shared" si="67"/>
        <v>0</v>
      </c>
      <c r="E105" s="20">
        <f t="shared" si="67"/>
        <v>0</v>
      </c>
      <c r="F105" s="20">
        <f t="shared" si="66"/>
        <v>0</v>
      </c>
      <c r="G105" s="20">
        <f t="shared" si="66"/>
        <v>0</v>
      </c>
      <c r="H105" s="3"/>
      <c r="I105" s="3"/>
    </row>
    <row r="106" spans="1:20" x14ac:dyDescent="0.3">
      <c r="A106" s="19" t="s">
        <v>51</v>
      </c>
      <c r="B106" s="126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3"/>
      <c r="I106" s="29"/>
    </row>
    <row r="107" spans="1:20" x14ac:dyDescent="0.3">
      <c r="A107" s="28" t="s">
        <v>50</v>
      </c>
      <c r="B107" s="131">
        <f t="shared" ref="B107:G107" si="68">SUM(B100:B106)+B97</f>
        <v>1963100</v>
      </c>
      <c r="C107" s="27">
        <f t="shared" si="68"/>
        <v>2373595</v>
      </c>
      <c r="D107" s="27">
        <f t="shared" si="68"/>
        <v>2674859.6999999997</v>
      </c>
      <c r="E107" s="27">
        <f>SUM(E100:E106)+E97</f>
        <v>2878460.6020000004</v>
      </c>
      <c r="F107" s="27">
        <f>SUM(F100:F106)+F97</f>
        <v>3001668.8480400001</v>
      </c>
      <c r="G107" s="27">
        <f t="shared" si="68"/>
        <v>3128512.0214008</v>
      </c>
      <c r="H107" s="3"/>
    </row>
    <row r="108" spans="1:20" x14ac:dyDescent="0.3">
      <c r="A108" s="19" t="s">
        <v>239</v>
      </c>
      <c r="B108" s="126">
        <f>B107*0.2925</f>
        <v>574206.75</v>
      </c>
      <c r="C108" s="126">
        <f t="shared" ref="C108:G108" si="69">C107*0.2925</f>
        <v>694276.53749999998</v>
      </c>
      <c r="D108" s="126">
        <f t="shared" si="69"/>
        <v>782396.46224999987</v>
      </c>
      <c r="E108" s="126">
        <f t="shared" si="69"/>
        <v>841949.72608500009</v>
      </c>
      <c r="F108" s="126">
        <f t="shared" si="69"/>
        <v>877988.13805169996</v>
      </c>
      <c r="G108" s="126">
        <f t="shared" si="69"/>
        <v>915089.76625973394</v>
      </c>
      <c r="H108" s="3"/>
      <c r="I108" s="26"/>
    </row>
    <row r="109" spans="1:20" x14ac:dyDescent="0.3">
      <c r="A109" s="19" t="s">
        <v>154</v>
      </c>
      <c r="B109" s="126">
        <f>B107*0.175</f>
        <v>343542.5</v>
      </c>
      <c r="C109" s="20">
        <f>C107*0.18</f>
        <v>427247.1</v>
      </c>
      <c r="D109" s="20">
        <f>D107*0.185</f>
        <v>494849.04449999996</v>
      </c>
      <c r="E109" s="20">
        <f>E107*0.19</f>
        <v>546907.51438000007</v>
      </c>
      <c r="F109" s="20">
        <f>F107*0.195</f>
        <v>585325.42536780005</v>
      </c>
      <c r="G109" s="20">
        <f>G107*0.2</f>
        <v>625702.40428015997</v>
      </c>
      <c r="H109" s="3"/>
      <c r="I109" s="26"/>
      <c r="J109" s="3"/>
      <c r="K109" s="3"/>
    </row>
    <row r="110" spans="1:20" x14ac:dyDescent="0.3">
      <c r="A110" s="19" t="s">
        <v>48</v>
      </c>
      <c r="B110" s="126">
        <v>0</v>
      </c>
      <c r="C110" s="20">
        <v>0</v>
      </c>
      <c r="D110" s="20">
        <v>0</v>
      </c>
      <c r="E110" s="20">
        <v>0</v>
      </c>
      <c r="F110" s="12">
        <v>0</v>
      </c>
      <c r="G110" s="12">
        <v>0</v>
      </c>
      <c r="H110" s="3"/>
      <c r="I110" s="3"/>
    </row>
    <row r="111" spans="1:20" x14ac:dyDescent="0.3">
      <c r="A111" s="19" t="s">
        <v>47</v>
      </c>
      <c r="B111" s="126">
        <v>5000</v>
      </c>
      <c r="C111" s="20">
        <v>5000</v>
      </c>
      <c r="D111" s="20">
        <v>5000</v>
      </c>
      <c r="E111" s="20">
        <v>5000</v>
      </c>
      <c r="F111" s="20">
        <v>5000</v>
      </c>
      <c r="G111" s="20">
        <v>5000</v>
      </c>
      <c r="H111" s="3"/>
    </row>
    <row r="112" spans="1:20" x14ac:dyDescent="0.3">
      <c r="A112" s="19" t="s">
        <v>46</v>
      </c>
      <c r="B112" s="126">
        <f t="shared" ref="B112:G112" si="70">(B36*10*165)-B106</f>
        <v>55275</v>
      </c>
      <c r="C112" s="126">
        <f t="shared" si="70"/>
        <v>64350</v>
      </c>
      <c r="D112" s="126">
        <f t="shared" si="70"/>
        <v>70950</v>
      </c>
      <c r="E112" s="126">
        <f t="shared" si="70"/>
        <v>74250</v>
      </c>
      <c r="F112" s="126">
        <f t="shared" si="70"/>
        <v>75900</v>
      </c>
      <c r="G112" s="126">
        <f t="shared" si="70"/>
        <v>77550</v>
      </c>
      <c r="H112" s="3"/>
      <c r="I112" s="3"/>
    </row>
    <row r="113" spans="1:9" x14ac:dyDescent="0.3">
      <c r="A113" s="18" t="s">
        <v>45</v>
      </c>
      <c r="B113" s="80">
        <f t="shared" ref="B113:G113" si="71">SUM(B107:B112)</f>
        <v>2941124.25</v>
      </c>
      <c r="C113" s="25">
        <f t="shared" si="71"/>
        <v>3564468.6375000002</v>
      </c>
      <c r="D113" s="25">
        <f t="shared" si="71"/>
        <v>4028055.2067499994</v>
      </c>
      <c r="E113" s="25">
        <f t="shared" si="71"/>
        <v>4346567.8424650002</v>
      </c>
      <c r="F113" s="25">
        <f t="shared" ref="F113" si="72">SUM(F107:F112)</f>
        <v>4545882.4114595</v>
      </c>
      <c r="G113" s="25">
        <f t="shared" si="71"/>
        <v>4751854.1919406941</v>
      </c>
      <c r="H113" s="3"/>
      <c r="I113" s="3"/>
    </row>
    <row r="114" spans="1:9" x14ac:dyDescent="0.3">
      <c r="A114" s="24" t="s">
        <v>44</v>
      </c>
      <c r="B114" s="128" t="str">
        <f t="shared" ref="B114:G114" si="73">B1</f>
        <v>20-21</v>
      </c>
      <c r="C114" s="23" t="str">
        <f t="shared" si="73"/>
        <v>21-22</v>
      </c>
      <c r="D114" s="23" t="str">
        <f t="shared" si="73"/>
        <v>22-23</v>
      </c>
      <c r="E114" s="23" t="str">
        <f t="shared" si="73"/>
        <v>23-24</v>
      </c>
      <c r="F114" s="23" t="str">
        <f t="shared" si="73"/>
        <v>24-25</v>
      </c>
      <c r="G114" s="23" t="str">
        <f t="shared" si="73"/>
        <v>25-26</v>
      </c>
      <c r="H114" s="3"/>
      <c r="I114" s="3"/>
    </row>
    <row r="115" spans="1:9" x14ac:dyDescent="0.3">
      <c r="A115" s="22" t="s">
        <v>43</v>
      </c>
      <c r="B115" s="126">
        <f>10*B17+120</f>
        <v>7000</v>
      </c>
      <c r="C115" s="20">
        <f>95*C17</f>
        <v>76665</v>
      </c>
      <c r="D115" s="20">
        <f>95*D17</f>
        <v>85025</v>
      </c>
      <c r="E115" s="20">
        <f>95*E17</f>
        <v>90915</v>
      </c>
      <c r="F115" s="20">
        <f>95*F17</f>
        <v>93860</v>
      </c>
      <c r="G115" s="20">
        <f>95*G17</f>
        <v>93860</v>
      </c>
      <c r="H115" s="3"/>
    </row>
    <row r="116" spans="1:9" x14ac:dyDescent="0.3">
      <c r="A116" s="19" t="s">
        <v>42</v>
      </c>
      <c r="B116" s="126">
        <f>ROUND('FFE Summary'!J7,-3)</f>
        <v>127000</v>
      </c>
      <c r="C116" s="20">
        <f>ROUND('FFE Summary'!J8,-3)</f>
        <v>212000</v>
      </c>
      <c r="D116" s="20">
        <f>ROUND('FFE Summary'!J9,-3)</f>
        <v>239000</v>
      </c>
      <c r="E116" s="20">
        <f>ROUND('FFE Summary'!J10,-3)</f>
        <v>259000</v>
      </c>
      <c r="F116" s="20">
        <f>ROUND('FFE Summary'!J11,-3)</f>
        <v>147000</v>
      </c>
      <c r="G116" s="20">
        <f>ROUND('FFE Summary'!J12,-3)</f>
        <v>75000</v>
      </c>
      <c r="H116" s="3"/>
    </row>
    <row r="117" spans="1:9" x14ac:dyDescent="0.3">
      <c r="A117" s="19" t="s">
        <v>41</v>
      </c>
      <c r="B117" s="126">
        <f t="shared" ref="B117:G117" si="74">13*B17</f>
        <v>8944</v>
      </c>
      <c r="C117" s="20">
        <f t="shared" si="74"/>
        <v>10491</v>
      </c>
      <c r="D117" s="20">
        <f t="shared" si="74"/>
        <v>11635</v>
      </c>
      <c r="E117" s="20">
        <f t="shared" si="74"/>
        <v>12441</v>
      </c>
      <c r="F117" s="20">
        <f t="shared" si="74"/>
        <v>12844</v>
      </c>
      <c r="G117" s="20">
        <f t="shared" si="74"/>
        <v>12844</v>
      </c>
      <c r="H117" s="3"/>
      <c r="I117" s="3"/>
    </row>
    <row r="118" spans="1:9" x14ac:dyDescent="0.3">
      <c r="A118" s="19" t="s">
        <v>40</v>
      </c>
      <c r="B118" s="126">
        <f t="shared" ref="B118:G118" si="75">27*B17</f>
        <v>18576</v>
      </c>
      <c r="C118" s="20">
        <f t="shared" si="75"/>
        <v>21789</v>
      </c>
      <c r="D118" s="20">
        <f t="shared" si="75"/>
        <v>24165</v>
      </c>
      <c r="E118" s="20">
        <f t="shared" si="75"/>
        <v>25839</v>
      </c>
      <c r="F118" s="20">
        <f t="shared" si="75"/>
        <v>26676</v>
      </c>
      <c r="G118" s="20">
        <f t="shared" si="75"/>
        <v>26676</v>
      </c>
      <c r="H118" s="3"/>
    </row>
    <row r="119" spans="1:9" x14ac:dyDescent="0.3">
      <c r="A119" s="19" t="s">
        <v>39</v>
      </c>
      <c r="B119" s="126">
        <f t="shared" ref="B119:G119" si="76">4*B17</f>
        <v>2752</v>
      </c>
      <c r="C119" s="20">
        <f t="shared" si="76"/>
        <v>3228</v>
      </c>
      <c r="D119" s="20">
        <f t="shared" si="76"/>
        <v>3580</v>
      </c>
      <c r="E119" s="20">
        <f t="shared" si="76"/>
        <v>3828</v>
      </c>
      <c r="F119" s="20">
        <f t="shared" si="76"/>
        <v>3952</v>
      </c>
      <c r="G119" s="20">
        <f t="shared" si="76"/>
        <v>3952</v>
      </c>
      <c r="H119" s="3"/>
    </row>
    <row r="120" spans="1:9" x14ac:dyDescent="0.3">
      <c r="A120" s="19" t="s">
        <v>38</v>
      </c>
      <c r="B120" s="126">
        <f t="shared" ref="B120:G120" si="77">3*B17</f>
        <v>2064</v>
      </c>
      <c r="C120" s="20">
        <f t="shared" si="77"/>
        <v>2421</v>
      </c>
      <c r="D120" s="20">
        <f t="shared" si="77"/>
        <v>2685</v>
      </c>
      <c r="E120" s="20">
        <f t="shared" si="77"/>
        <v>2871</v>
      </c>
      <c r="F120" s="20">
        <f t="shared" si="77"/>
        <v>2964</v>
      </c>
      <c r="G120" s="20">
        <f t="shared" si="77"/>
        <v>2964</v>
      </c>
      <c r="H120" s="3"/>
    </row>
    <row r="121" spans="1:9" x14ac:dyDescent="0.3">
      <c r="A121" s="19" t="s">
        <v>37</v>
      </c>
      <c r="B121" s="126">
        <f t="shared" ref="B121:G121" si="78">120*B20</f>
        <v>8256</v>
      </c>
      <c r="C121" s="20">
        <f t="shared" si="78"/>
        <v>9684</v>
      </c>
      <c r="D121" s="20">
        <f t="shared" si="78"/>
        <v>10740</v>
      </c>
      <c r="E121" s="20">
        <f t="shared" si="78"/>
        <v>11484</v>
      </c>
      <c r="F121" s="20">
        <f t="shared" si="78"/>
        <v>11856.000000000002</v>
      </c>
      <c r="G121" s="20">
        <f t="shared" si="78"/>
        <v>11856.000000000002</v>
      </c>
      <c r="H121" s="3"/>
    </row>
    <row r="122" spans="1:9" x14ac:dyDescent="0.3">
      <c r="A122" s="19" t="s">
        <v>36</v>
      </c>
      <c r="B122" s="126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3"/>
    </row>
    <row r="123" spans="1:9" x14ac:dyDescent="0.3">
      <c r="A123" s="19" t="s">
        <v>35</v>
      </c>
      <c r="B123" s="126">
        <v>5000</v>
      </c>
      <c r="C123" s="20">
        <v>5500</v>
      </c>
      <c r="D123" s="20">
        <v>6000</v>
      </c>
      <c r="E123" s="20">
        <v>6500</v>
      </c>
      <c r="F123" s="20">
        <v>7000</v>
      </c>
      <c r="G123" s="20">
        <v>7500</v>
      </c>
      <c r="H123" s="3"/>
    </row>
    <row r="124" spans="1:9" x14ac:dyDescent="0.3">
      <c r="A124" s="19" t="s">
        <v>255</v>
      </c>
      <c r="B124" s="126">
        <f>B72+1000</f>
        <v>168184</v>
      </c>
      <c r="C124" s="126">
        <f t="shared" ref="C124:G124" si="79">C72+1000</f>
        <v>218890</v>
      </c>
      <c r="D124" s="126">
        <f t="shared" si="79"/>
        <v>242650</v>
      </c>
      <c r="E124" s="126">
        <f t="shared" si="79"/>
        <v>259390</v>
      </c>
      <c r="F124" s="126">
        <f t="shared" si="79"/>
        <v>294436.00000000006</v>
      </c>
      <c r="G124" s="126">
        <f t="shared" si="79"/>
        <v>294436.00000000006</v>
      </c>
      <c r="H124" s="3"/>
    </row>
    <row r="125" spans="1:9" x14ac:dyDescent="0.3">
      <c r="A125" s="19" t="s">
        <v>33</v>
      </c>
      <c r="B125" s="126">
        <v>2500</v>
      </c>
      <c r="C125" s="20">
        <v>2500</v>
      </c>
      <c r="D125" s="20">
        <v>2500</v>
      </c>
      <c r="E125" s="20">
        <v>2500</v>
      </c>
      <c r="F125" s="20">
        <v>2500</v>
      </c>
      <c r="G125" s="20">
        <v>2500</v>
      </c>
      <c r="H125" s="3"/>
    </row>
    <row r="126" spans="1:9" x14ac:dyDescent="0.3">
      <c r="A126" s="19" t="s">
        <v>32</v>
      </c>
      <c r="B126" s="126">
        <f>175*B17</f>
        <v>120400</v>
      </c>
      <c r="C126" s="126">
        <f>180*C17</f>
        <v>145260</v>
      </c>
      <c r="D126" s="126">
        <f>185*D17</f>
        <v>165575</v>
      </c>
      <c r="E126" s="126">
        <f>190*E17</f>
        <v>181830</v>
      </c>
      <c r="F126" s="126">
        <f>195*F17</f>
        <v>192660</v>
      </c>
      <c r="G126" s="126">
        <f>200*G17</f>
        <v>197600</v>
      </c>
      <c r="H126" s="3"/>
    </row>
    <row r="127" spans="1:9" x14ac:dyDescent="0.3">
      <c r="A127" s="19" t="s">
        <v>31</v>
      </c>
      <c r="B127" s="126">
        <v>0</v>
      </c>
      <c r="C127" s="20">
        <f>B127*1.015</f>
        <v>0</v>
      </c>
      <c r="D127" s="20">
        <f t="shared" ref="D127:E127" si="80">C127*1.015</f>
        <v>0</v>
      </c>
      <c r="E127" s="20">
        <f t="shared" si="80"/>
        <v>0</v>
      </c>
      <c r="F127" s="20">
        <f>D127*1.015</f>
        <v>0</v>
      </c>
      <c r="G127" s="20">
        <f>E127*1.015</f>
        <v>0</v>
      </c>
      <c r="H127" s="3"/>
    </row>
    <row r="128" spans="1:9" x14ac:dyDescent="0.3">
      <c r="A128" s="19" t="s">
        <v>30</v>
      </c>
      <c r="B128" s="126">
        <f t="shared" ref="B128:G128" si="81">450*B17</f>
        <v>309600</v>
      </c>
      <c r="C128" s="20">
        <f t="shared" si="81"/>
        <v>363150</v>
      </c>
      <c r="D128" s="20">
        <f t="shared" si="81"/>
        <v>402750</v>
      </c>
      <c r="E128" s="20">
        <f t="shared" si="81"/>
        <v>430650</v>
      </c>
      <c r="F128" s="20">
        <f t="shared" si="81"/>
        <v>444600</v>
      </c>
      <c r="G128" s="20">
        <f t="shared" si="81"/>
        <v>444600</v>
      </c>
      <c r="H128" s="3"/>
    </row>
    <row r="129" spans="1:8" x14ac:dyDescent="0.3">
      <c r="A129" s="19" t="s">
        <v>29</v>
      </c>
      <c r="B129" s="104">
        <f>(240*B62)</f>
        <v>11640</v>
      </c>
      <c r="C129" s="104">
        <f t="shared" ref="C129:G129" si="82">(240*C62)</f>
        <v>13680</v>
      </c>
      <c r="D129" s="104">
        <f t="shared" si="82"/>
        <v>14880</v>
      </c>
      <c r="E129" s="104">
        <f t="shared" si="82"/>
        <v>15840</v>
      </c>
      <c r="F129" s="104">
        <f t="shared" si="82"/>
        <v>16320</v>
      </c>
      <c r="G129" s="104">
        <f t="shared" si="82"/>
        <v>16800</v>
      </c>
      <c r="H129" s="3"/>
    </row>
    <row r="130" spans="1:8" x14ac:dyDescent="0.3">
      <c r="A130" s="19" t="s">
        <v>28</v>
      </c>
      <c r="B130" s="126">
        <v>0</v>
      </c>
      <c r="C130" s="20">
        <v>20000</v>
      </c>
      <c r="D130" s="20">
        <v>20000</v>
      </c>
      <c r="E130" s="20">
        <v>20000</v>
      </c>
      <c r="F130" s="20">
        <v>20000</v>
      </c>
      <c r="G130" s="20">
        <v>20000</v>
      </c>
      <c r="H130" s="3"/>
    </row>
    <row r="131" spans="1:8" x14ac:dyDescent="0.3">
      <c r="A131" s="19" t="s">
        <v>27</v>
      </c>
      <c r="B131" s="126">
        <v>5500</v>
      </c>
      <c r="C131" s="20">
        <f>B131*1.02</f>
        <v>5610</v>
      </c>
      <c r="D131" s="20">
        <f t="shared" ref="D131:E131" si="83">C131*1.02</f>
        <v>5722.2</v>
      </c>
      <c r="E131" s="20">
        <f t="shared" si="83"/>
        <v>5836.6440000000002</v>
      </c>
      <c r="F131" s="20">
        <f>D131*1.02</f>
        <v>5836.6440000000002</v>
      </c>
      <c r="G131" s="20">
        <f>E131*1.02</f>
        <v>5953.3768800000007</v>
      </c>
      <c r="H131" s="3"/>
    </row>
    <row r="132" spans="1:8" x14ac:dyDescent="0.3">
      <c r="A132" s="19" t="s">
        <v>26</v>
      </c>
      <c r="B132" s="126">
        <f t="shared" ref="B132:G132" si="84">B17*42</f>
        <v>28896</v>
      </c>
      <c r="C132" s="20">
        <f t="shared" si="84"/>
        <v>33894</v>
      </c>
      <c r="D132" s="20">
        <f t="shared" si="84"/>
        <v>37590</v>
      </c>
      <c r="E132" s="20">
        <f t="shared" si="84"/>
        <v>40194</v>
      </c>
      <c r="F132" s="20">
        <f t="shared" si="84"/>
        <v>41496</v>
      </c>
      <c r="G132" s="20">
        <f t="shared" si="84"/>
        <v>41496</v>
      </c>
      <c r="H132" s="3"/>
    </row>
    <row r="133" spans="1:8" x14ac:dyDescent="0.3">
      <c r="A133" s="19" t="s">
        <v>25</v>
      </c>
      <c r="B133" s="126">
        <v>15000</v>
      </c>
      <c r="C133" s="20">
        <v>8500</v>
      </c>
      <c r="D133" s="20">
        <v>6000</v>
      </c>
      <c r="E133" s="20">
        <v>6000</v>
      </c>
      <c r="F133" s="12">
        <v>6000</v>
      </c>
      <c r="G133" s="12">
        <v>6000</v>
      </c>
      <c r="H133" s="3"/>
    </row>
    <row r="134" spans="1:8" x14ac:dyDescent="0.3">
      <c r="A134" s="19" t="s">
        <v>24</v>
      </c>
      <c r="B134" s="126">
        <v>3000</v>
      </c>
      <c r="C134" s="20">
        <v>3000</v>
      </c>
      <c r="D134" s="20">
        <v>3000</v>
      </c>
      <c r="E134" s="20">
        <v>3000</v>
      </c>
      <c r="F134" s="20">
        <v>3000</v>
      </c>
      <c r="G134" s="20">
        <v>3000</v>
      </c>
      <c r="H134" s="3"/>
    </row>
    <row r="135" spans="1:8" x14ac:dyDescent="0.3">
      <c r="A135" s="19" t="s">
        <v>23</v>
      </c>
      <c r="B135" s="126">
        <v>45000</v>
      </c>
      <c r="C135" s="20">
        <f>B135+5000</f>
        <v>50000</v>
      </c>
      <c r="D135" s="20">
        <f>C135+5000</f>
        <v>55000</v>
      </c>
      <c r="E135" s="20">
        <f>D135*1.05</f>
        <v>57750</v>
      </c>
      <c r="F135" s="20">
        <f>D135*1.05</f>
        <v>57750</v>
      </c>
      <c r="G135" s="20">
        <f>E135*1.05</f>
        <v>60637.5</v>
      </c>
      <c r="H135" s="29"/>
    </row>
    <row r="136" spans="1:8" x14ac:dyDescent="0.3">
      <c r="A136" s="19" t="s">
        <v>22</v>
      </c>
      <c r="B136" s="126">
        <v>4000</v>
      </c>
      <c r="C136" s="20">
        <v>2000</v>
      </c>
      <c r="D136" s="20">
        <v>2000</v>
      </c>
      <c r="E136" s="20">
        <v>2000</v>
      </c>
      <c r="F136" s="20">
        <v>2000</v>
      </c>
      <c r="G136" s="20">
        <v>2000</v>
      </c>
      <c r="H136" s="3"/>
    </row>
    <row r="137" spans="1:8" x14ac:dyDescent="0.3">
      <c r="A137" s="19" t="s">
        <v>238</v>
      </c>
      <c r="B137" s="126">
        <f>B77*0.015</f>
        <v>76388.639999999999</v>
      </c>
      <c r="C137" s="126">
        <f t="shared" ref="C137:G137" si="85">C77*0.015</f>
        <v>90766.025729999979</v>
      </c>
      <c r="D137" s="126">
        <f t="shared" si="85"/>
        <v>101972.31194264998</v>
      </c>
      <c r="E137" s="126">
        <f t="shared" si="85"/>
        <v>110453.78777876482</v>
      </c>
      <c r="F137" s="126">
        <f t="shared" si="85"/>
        <v>115514.11784289457</v>
      </c>
      <c r="G137" s="126">
        <f t="shared" si="85"/>
        <v>117015.80137485218</v>
      </c>
      <c r="H137" s="3"/>
    </row>
    <row r="138" spans="1:8" x14ac:dyDescent="0.3">
      <c r="A138" s="19" t="s">
        <v>20</v>
      </c>
      <c r="B138" s="126">
        <f t="shared" ref="B138:G138" si="86">B77*0.005</f>
        <v>25462.880000000001</v>
      </c>
      <c r="C138" s="20">
        <f t="shared" si="86"/>
        <v>30255.341909999996</v>
      </c>
      <c r="D138" s="20">
        <f t="shared" si="86"/>
        <v>33990.770647549994</v>
      </c>
      <c r="E138" s="20">
        <f t="shared" si="86"/>
        <v>36817.92925958828</v>
      </c>
      <c r="F138" s="20">
        <f t="shared" ref="F138" si="87">F77*0.005</f>
        <v>38504.705947631526</v>
      </c>
      <c r="G138" s="20">
        <f t="shared" si="86"/>
        <v>39005.267124950726</v>
      </c>
      <c r="H138" s="3"/>
    </row>
    <row r="139" spans="1:8" x14ac:dyDescent="0.3">
      <c r="A139" s="19" t="s">
        <v>19</v>
      </c>
      <c r="B139" s="126">
        <f t="shared" ref="B139:G139" si="88">B77*0.005</f>
        <v>25462.880000000001</v>
      </c>
      <c r="C139" s="20">
        <f t="shared" si="88"/>
        <v>30255.341909999996</v>
      </c>
      <c r="D139" s="20">
        <f t="shared" si="88"/>
        <v>33990.770647549994</v>
      </c>
      <c r="E139" s="20">
        <f t="shared" si="88"/>
        <v>36817.92925958828</v>
      </c>
      <c r="F139" s="20">
        <f t="shared" ref="F139" si="89">F77*0.005</f>
        <v>38504.705947631526</v>
      </c>
      <c r="G139" s="20">
        <f t="shared" si="88"/>
        <v>39005.267124950726</v>
      </c>
      <c r="H139" s="3"/>
    </row>
    <row r="140" spans="1:8" x14ac:dyDescent="0.3">
      <c r="A140" s="19" t="s">
        <v>18</v>
      </c>
      <c r="B140" s="126">
        <v>20000</v>
      </c>
      <c r="C140" s="20">
        <f>B140*1.05</f>
        <v>21000</v>
      </c>
      <c r="D140" s="20">
        <f t="shared" ref="D140:G140" si="90">C140*1.05</f>
        <v>22050</v>
      </c>
      <c r="E140" s="20">
        <f t="shared" si="90"/>
        <v>23152.5</v>
      </c>
      <c r="F140" s="20">
        <f t="shared" si="90"/>
        <v>24310.125</v>
      </c>
      <c r="G140" s="20">
        <f t="shared" si="90"/>
        <v>25525.631250000002</v>
      </c>
      <c r="H140" s="3"/>
    </row>
    <row r="141" spans="1:8" x14ac:dyDescent="0.3">
      <c r="A141" s="19" t="s">
        <v>17</v>
      </c>
      <c r="B141" s="126">
        <v>750</v>
      </c>
      <c r="C141" s="20">
        <f>B141+100</f>
        <v>850</v>
      </c>
      <c r="D141" s="20">
        <f t="shared" ref="D141" si="91">C141+100</f>
        <v>950</v>
      </c>
      <c r="E141" s="20">
        <f t="shared" ref="E141" si="92">D141+100</f>
        <v>1050</v>
      </c>
      <c r="F141" s="20">
        <f t="shared" ref="F141" si="93">E141+100</f>
        <v>1150</v>
      </c>
      <c r="G141" s="20">
        <f t="shared" ref="G141" si="94">F141+100</f>
        <v>1250</v>
      </c>
      <c r="H141" s="3"/>
    </row>
    <row r="142" spans="1:8" x14ac:dyDescent="0.3">
      <c r="A142" s="19" t="s">
        <v>16</v>
      </c>
      <c r="B142" s="126">
        <f>75*B62</f>
        <v>3637.5</v>
      </c>
      <c r="C142" s="126">
        <f t="shared" ref="C142:G142" si="95">75*C62</f>
        <v>4275</v>
      </c>
      <c r="D142" s="126">
        <f t="shared" si="95"/>
        <v>4650</v>
      </c>
      <c r="E142" s="126">
        <f t="shared" si="95"/>
        <v>4950</v>
      </c>
      <c r="F142" s="126">
        <f t="shared" si="95"/>
        <v>5100</v>
      </c>
      <c r="G142" s="126">
        <f t="shared" si="95"/>
        <v>5250</v>
      </c>
      <c r="H142" s="3"/>
    </row>
    <row r="143" spans="1:8" x14ac:dyDescent="0.3">
      <c r="A143" s="19" t="s">
        <v>15</v>
      </c>
      <c r="B143" s="126">
        <v>30000</v>
      </c>
      <c r="C143" s="20">
        <f>B143*1.05</f>
        <v>31500</v>
      </c>
      <c r="D143" s="20">
        <f t="shared" ref="D143:G143" si="96">C143*1.05</f>
        <v>33075</v>
      </c>
      <c r="E143" s="20">
        <f t="shared" si="96"/>
        <v>34728.75</v>
      </c>
      <c r="F143" s="20">
        <f t="shared" si="96"/>
        <v>36465.1875</v>
      </c>
      <c r="G143" s="20">
        <f t="shared" si="96"/>
        <v>38288.446875000001</v>
      </c>
      <c r="H143" s="3"/>
    </row>
    <row r="144" spans="1:8" x14ac:dyDescent="0.3">
      <c r="A144" s="19" t="s">
        <v>177</v>
      </c>
      <c r="B144" s="126">
        <v>1000</v>
      </c>
      <c r="C144" s="20">
        <f>B144+200</f>
        <v>1200</v>
      </c>
      <c r="D144" s="20">
        <f t="shared" ref="D144:E144" si="97">C144+200</f>
        <v>1400</v>
      </c>
      <c r="E144" s="20">
        <f t="shared" si="97"/>
        <v>1600</v>
      </c>
      <c r="F144" s="20">
        <f>D144+200</f>
        <v>1600</v>
      </c>
      <c r="G144" s="20">
        <f>E144+200</f>
        <v>1800</v>
      </c>
      <c r="H144" s="3"/>
    </row>
    <row r="145" spans="1:17" x14ac:dyDescent="0.3">
      <c r="A145" s="19" t="s">
        <v>14</v>
      </c>
      <c r="B145" s="126">
        <v>1000</v>
      </c>
      <c r="C145" s="126">
        <v>1000</v>
      </c>
      <c r="D145" s="126">
        <v>1000</v>
      </c>
      <c r="E145" s="126">
        <v>2000</v>
      </c>
      <c r="F145" s="20">
        <v>2000</v>
      </c>
      <c r="G145" s="20">
        <v>2000</v>
      </c>
      <c r="H145" s="3"/>
    </row>
    <row r="146" spans="1:17" x14ac:dyDescent="0.3">
      <c r="A146" s="18" t="s">
        <v>5</v>
      </c>
      <c r="B146" s="80">
        <f t="shared" ref="B146:G146" si="98">SUM(B115:B145)</f>
        <v>1077013.8999999999</v>
      </c>
      <c r="C146" s="25">
        <f t="shared" si="98"/>
        <v>1419363.7095499998</v>
      </c>
      <c r="D146" s="25">
        <f t="shared" si="98"/>
        <v>1573576.05323775</v>
      </c>
      <c r="E146" s="25">
        <f t="shared" si="98"/>
        <v>1689439.5402979413</v>
      </c>
      <c r="F146" s="80">
        <f t="shared" ref="F146" si="99">SUM(F115:F145)</f>
        <v>1655899.4862381576</v>
      </c>
      <c r="G146" s="80">
        <f t="shared" si="98"/>
        <v>1598815.2906297536</v>
      </c>
      <c r="H146" s="3"/>
    </row>
    <row r="147" spans="1:17" x14ac:dyDescent="0.3">
      <c r="A147" s="21" t="s">
        <v>13</v>
      </c>
      <c r="B147" s="132" t="str">
        <f t="shared" ref="B147:G147" si="100">B1</f>
        <v>20-21</v>
      </c>
      <c r="C147" s="83" t="str">
        <f t="shared" si="100"/>
        <v>21-22</v>
      </c>
      <c r="D147" s="83" t="str">
        <f t="shared" si="100"/>
        <v>22-23</v>
      </c>
      <c r="E147" s="83" t="str">
        <f t="shared" si="100"/>
        <v>23-24</v>
      </c>
      <c r="F147" s="83" t="str">
        <f t="shared" si="100"/>
        <v>24-25</v>
      </c>
      <c r="G147" s="83" t="str">
        <f t="shared" si="100"/>
        <v>25-26</v>
      </c>
      <c r="H147" s="3"/>
    </row>
    <row r="148" spans="1:17" x14ac:dyDescent="0.3">
      <c r="A148" s="19" t="s">
        <v>12</v>
      </c>
      <c r="B148" s="126">
        <v>105000</v>
      </c>
      <c r="C148" s="20">
        <f>125000</f>
        <v>125000</v>
      </c>
      <c r="D148" s="20">
        <f>C148+5000</f>
        <v>130000</v>
      </c>
      <c r="E148" s="20">
        <f t="shared" ref="E148" si="101">D148+5000</f>
        <v>135000</v>
      </c>
      <c r="F148" s="20">
        <f>D148+10000</f>
        <v>140000</v>
      </c>
      <c r="G148" s="20">
        <f>E148+10000</f>
        <v>145000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3">
      <c r="A149" s="19" t="s">
        <v>11</v>
      </c>
      <c r="B149" s="126">
        <v>7200</v>
      </c>
      <c r="C149" s="20">
        <f t="shared" ref="C149:D149" si="102">B149*1.03</f>
        <v>7416</v>
      </c>
      <c r="D149" s="20">
        <f t="shared" si="102"/>
        <v>7638.4800000000005</v>
      </c>
      <c r="E149" s="20">
        <f t="shared" ref="E149" si="103">D149*1.03</f>
        <v>7867.6344000000008</v>
      </c>
      <c r="F149" s="20">
        <f t="shared" ref="F149" si="104">E149*1.03</f>
        <v>8103.6634320000012</v>
      </c>
      <c r="G149" s="20">
        <f t="shared" ref="G149" si="105">F149*1.03</f>
        <v>8346.7733349600021</v>
      </c>
      <c r="H149" s="3"/>
    </row>
    <row r="150" spans="1:17" x14ac:dyDescent="0.3">
      <c r="A150" s="19" t="s">
        <v>10</v>
      </c>
      <c r="B150" s="126">
        <f>(8100*10)+(5350*3)+(4000*2)</f>
        <v>105050</v>
      </c>
      <c r="C150" s="20">
        <f>(8200*10)+(5350*3)+(4000*2)</f>
        <v>106050</v>
      </c>
      <c r="D150" s="20">
        <f>(8250*10)+(5550*3)+(4000*2)</f>
        <v>107150</v>
      </c>
      <c r="E150" s="20">
        <f>(8300*10)+(5550*3)+(4100*2)</f>
        <v>107850</v>
      </c>
      <c r="F150" s="20">
        <f>(8400*10)+(5650*3)+(4200*2)</f>
        <v>109350</v>
      </c>
      <c r="G150" s="20">
        <f>(8500*10)+(5750*3)+(4300*2)</f>
        <v>110850</v>
      </c>
      <c r="H150" s="3"/>
    </row>
    <row r="151" spans="1:17" x14ac:dyDescent="0.3">
      <c r="A151" s="19" t="s">
        <v>9</v>
      </c>
      <c r="B151" s="126">
        <f t="shared" ref="B151:G151" si="106">B17*15</f>
        <v>10320</v>
      </c>
      <c r="C151" s="20">
        <f t="shared" si="106"/>
        <v>12105</v>
      </c>
      <c r="D151" s="20">
        <f t="shared" si="106"/>
        <v>13425</v>
      </c>
      <c r="E151" s="20">
        <f t="shared" si="106"/>
        <v>14355</v>
      </c>
      <c r="F151" s="20">
        <f t="shared" si="106"/>
        <v>14820</v>
      </c>
      <c r="G151" s="20">
        <f t="shared" si="106"/>
        <v>14820</v>
      </c>
      <c r="H151" s="3"/>
      <c r="I151" s="190"/>
    </row>
    <row r="152" spans="1:17" x14ac:dyDescent="0.3">
      <c r="A152" s="19" t="s">
        <v>8</v>
      </c>
      <c r="B152" s="126">
        <f>26500</f>
        <v>26500</v>
      </c>
      <c r="C152" s="20">
        <f>32500</f>
        <v>32500</v>
      </c>
      <c r="D152" s="20">
        <f>40000</f>
        <v>40000</v>
      </c>
      <c r="E152" s="20">
        <f>43000</f>
        <v>43000</v>
      </c>
      <c r="F152" s="20">
        <f>50000</f>
        <v>50000</v>
      </c>
      <c r="G152" s="20">
        <f>50000</f>
        <v>50000</v>
      </c>
      <c r="H152" s="3"/>
    </row>
    <row r="153" spans="1:17" x14ac:dyDescent="0.3">
      <c r="A153" s="19" t="s">
        <v>173</v>
      </c>
      <c r="B153" s="126">
        <f>12000</f>
        <v>12000</v>
      </c>
      <c r="C153" s="20">
        <f>B153*1.05</f>
        <v>12600</v>
      </c>
      <c r="D153" s="20">
        <f t="shared" ref="D153:G153" si="107">C153*1.05</f>
        <v>13230</v>
      </c>
      <c r="E153" s="20">
        <f t="shared" si="107"/>
        <v>13891.5</v>
      </c>
      <c r="F153" s="20">
        <f t="shared" si="107"/>
        <v>14586.075000000001</v>
      </c>
      <c r="G153" s="20">
        <f t="shared" si="107"/>
        <v>15315.378750000002</v>
      </c>
      <c r="H153" s="3"/>
    </row>
    <row r="154" spans="1:17" x14ac:dyDescent="0.3">
      <c r="A154" s="19" t="s">
        <v>7</v>
      </c>
      <c r="B154" s="126">
        <f>12000</f>
        <v>12000</v>
      </c>
      <c r="C154" s="20">
        <f>B154*1.05</f>
        <v>12600</v>
      </c>
      <c r="D154" s="20">
        <f t="shared" ref="D154:G154" si="108">C154*1.05</f>
        <v>13230</v>
      </c>
      <c r="E154" s="20">
        <f t="shared" si="108"/>
        <v>13891.5</v>
      </c>
      <c r="F154" s="20">
        <f t="shared" si="108"/>
        <v>14586.075000000001</v>
      </c>
      <c r="G154" s="20">
        <f t="shared" si="108"/>
        <v>15315.378750000002</v>
      </c>
      <c r="H154" s="3"/>
    </row>
    <row r="155" spans="1:17" x14ac:dyDescent="0.3">
      <c r="A155" s="19" t="s">
        <v>6</v>
      </c>
      <c r="B155" s="126">
        <f>13000</f>
        <v>13000</v>
      </c>
      <c r="C155" s="20">
        <f>B155+1000</f>
        <v>14000</v>
      </c>
      <c r="D155" s="20">
        <f t="shared" ref="D155:G155" si="109">C155+1000</f>
        <v>15000</v>
      </c>
      <c r="E155" s="20">
        <f t="shared" si="109"/>
        <v>16000</v>
      </c>
      <c r="F155" s="20">
        <f t="shared" si="109"/>
        <v>17000</v>
      </c>
      <c r="G155" s="20">
        <f t="shared" si="109"/>
        <v>18000</v>
      </c>
      <c r="H155" s="3"/>
    </row>
    <row r="156" spans="1:17" x14ac:dyDescent="0.3">
      <c r="A156" s="18" t="s">
        <v>5</v>
      </c>
      <c r="B156" s="80">
        <f t="shared" ref="B156:G156" si="110">SUM(B148:B155)</f>
        <v>291070</v>
      </c>
      <c r="C156" s="80">
        <f t="shared" si="110"/>
        <v>322271</v>
      </c>
      <c r="D156" s="80">
        <f t="shared" si="110"/>
        <v>339673.48</v>
      </c>
      <c r="E156" s="80">
        <f t="shared" si="110"/>
        <v>351855.63439999998</v>
      </c>
      <c r="F156" s="80">
        <f t="shared" ref="F156" si="111">SUM(F148:F155)</f>
        <v>368445.813432</v>
      </c>
      <c r="G156" s="80">
        <f t="shared" si="110"/>
        <v>377647.53083495994</v>
      </c>
      <c r="H156" s="3"/>
    </row>
    <row r="157" spans="1:17" ht="15" thickBot="1" x14ac:dyDescent="0.35">
      <c r="A157" s="17"/>
      <c r="B157" s="133"/>
      <c r="C157" s="6"/>
      <c r="D157" s="6"/>
      <c r="E157" s="6"/>
      <c r="F157" s="6"/>
      <c r="G157" s="6"/>
      <c r="H157" s="3"/>
    </row>
    <row r="158" spans="1:17" ht="15" thickBot="1" x14ac:dyDescent="0.35">
      <c r="A158" s="16" t="s">
        <v>4</v>
      </c>
      <c r="B158" s="134">
        <f t="shared" ref="B158:G158" si="112">B156+B146+B113</f>
        <v>4309208.1500000004</v>
      </c>
      <c r="C158" s="15">
        <f t="shared" si="112"/>
        <v>5306103.34705</v>
      </c>
      <c r="D158" s="15">
        <f t="shared" si="112"/>
        <v>5941304.7399877496</v>
      </c>
      <c r="E158" s="15">
        <f t="shared" si="112"/>
        <v>6387863.0171629414</v>
      </c>
      <c r="F158" s="15">
        <f t="shared" ref="F158" si="113">F156+F146+F113</f>
        <v>6570227.7111296579</v>
      </c>
      <c r="G158" s="15">
        <f t="shared" si="112"/>
        <v>6728317.0134054078</v>
      </c>
      <c r="H158" s="3"/>
    </row>
    <row r="159" spans="1:17" ht="15" thickBot="1" x14ac:dyDescent="0.35">
      <c r="A159" s="14"/>
      <c r="B159" s="133"/>
      <c r="C159" s="6"/>
      <c r="D159" s="6"/>
      <c r="E159" s="6"/>
      <c r="F159" s="6"/>
      <c r="G159" s="6"/>
      <c r="H159" s="3"/>
    </row>
    <row r="160" spans="1:17" x14ac:dyDescent="0.3">
      <c r="A160" s="11"/>
      <c r="B160" s="124"/>
      <c r="C160" s="10"/>
      <c r="D160" s="10"/>
      <c r="E160" s="10"/>
      <c r="F160" s="10"/>
      <c r="G160" s="10"/>
      <c r="H160" s="3"/>
    </row>
    <row r="161" spans="1:14" x14ac:dyDescent="0.3">
      <c r="A161" s="13" t="s">
        <v>3</v>
      </c>
      <c r="B161" s="126">
        <v>750000</v>
      </c>
      <c r="C161" s="20">
        <v>980000</v>
      </c>
      <c r="D161" s="20">
        <v>1150000</v>
      </c>
      <c r="E161" s="20">
        <v>1300000</v>
      </c>
      <c r="F161" s="20">
        <v>1375000</v>
      </c>
      <c r="G161" s="20">
        <v>1425000</v>
      </c>
      <c r="H161" s="3"/>
    </row>
    <row r="162" spans="1:14" x14ac:dyDescent="0.3">
      <c r="A162" s="13" t="s">
        <v>2</v>
      </c>
      <c r="B162" s="126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3"/>
      <c r="I162" s="98"/>
      <c r="J162" s="98"/>
      <c r="K162" s="98"/>
      <c r="L162" s="98"/>
      <c r="M162" s="98"/>
      <c r="N162" s="98"/>
    </row>
    <row r="163" spans="1:14" x14ac:dyDescent="0.3">
      <c r="A163" s="13" t="s">
        <v>1</v>
      </c>
      <c r="B163" s="126">
        <v>0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3"/>
    </row>
    <row r="164" spans="1:14" ht="15" thickBot="1" x14ac:dyDescent="0.35">
      <c r="A164" s="7"/>
      <c r="B164" s="133"/>
      <c r="C164" s="6"/>
      <c r="D164" s="6"/>
      <c r="E164" s="6"/>
      <c r="F164" s="6"/>
      <c r="G164" s="6"/>
      <c r="H164" s="3"/>
    </row>
    <row r="165" spans="1:14" x14ac:dyDescent="0.3">
      <c r="A165" s="11"/>
      <c r="B165" s="124"/>
      <c r="C165" s="10"/>
      <c r="D165" s="10"/>
      <c r="E165" s="10"/>
      <c r="F165" s="10"/>
      <c r="G165" s="10"/>
      <c r="H165" s="3"/>
    </row>
    <row r="166" spans="1:14" x14ac:dyDescent="0.3">
      <c r="A166" s="9" t="s">
        <v>0</v>
      </c>
      <c r="B166" s="107">
        <f>B76-B158-B161-B162-B163</f>
        <v>178126.08999999985</v>
      </c>
      <c r="C166" s="8">
        <f t="shared" ref="C166:E166" si="114">C76-C158-C161-C162-C163</f>
        <v>209584.35112999938</v>
      </c>
      <c r="D166" s="8">
        <f t="shared" si="114"/>
        <v>217440.34822714888</v>
      </c>
      <c r="E166" s="8">
        <f t="shared" si="114"/>
        <v>234139.47623553686</v>
      </c>
      <c r="F166" s="8">
        <f>F76-F158-F161-F162-F163</f>
        <v>371687.56650138367</v>
      </c>
      <c r="G166" s="8">
        <f>G76-G158-G161-G162-G163</f>
        <v>275651.87733483594</v>
      </c>
      <c r="H166" s="3"/>
    </row>
    <row r="167" spans="1:14" ht="15" thickBot="1" x14ac:dyDescent="0.35">
      <c r="A167" s="7"/>
      <c r="B167" s="133"/>
      <c r="C167" s="6"/>
      <c r="D167" s="6"/>
      <c r="E167" s="6"/>
      <c r="F167" s="6"/>
      <c r="G167" s="6"/>
      <c r="H167" s="3"/>
    </row>
    <row r="168" spans="1:14" x14ac:dyDescent="0.3">
      <c r="B168" s="5">
        <f t="shared" ref="B168:G168" si="115">B166/B76</f>
        <v>3.401083105209643E-2</v>
      </c>
      <c r="C168" s="5">
        <f t="shared" si="115"/>
        <v>3.226515203135797E-2</v>
      </c>
      <c r="D168" s="5">
        <f t="shared" si="115"/>
        <v>2.9750708993499308E-2</v>
      </c>
      <c r="E168" s="5">
        <f t="shared" si="115"/>
        <v>2.9555592343053255E-2</v>
      </c>
      <c r="F168" s="5">
        <f t="shared" ref="F168" si="116">F166/F76</f>
        <v>4.4690555824352912E-2</v>
      </c>
      <c r="G168" s="5">
        <f t="shared" si="115"/>
        <v>3.2702917866698614E-2</v>
      </c>
      <c r="H168" s="3"/>
    </row>
    <row r="169" spans="1:14" x14ac:dyDescent="0.3">
      <c r="A169" s="4" t="str">
        <f t="shared" ref="A169:G169" si="117">A1</f>
        <v>PANN</v>
      </c>
      <c r="B169" s="4" t="str">
        <f t="shared" si="117"/>
        <v>20-21</v>
      </c>
      <c r="C169" s="4" t="str">
        <f t="shared" si="117"/>
        <v>21-22</v>
      </c>
      <c r="D169" s="4" t="str">
        <f t="shared" si="117"/>
        <v>22-23</v>
      </c>
      <c r="E169" s="4" t="str">
        <f t="shared" si="117"/>
        <v>23-24</v>
      </c>
      <c r="F169" s="4" t="str">
        <f t="shared" si="117"/>
        <v>24-25</v>
      </c>
      <c r="G169" s="4" t="str">
        <f t="shared" si="117"/>
        <v>25-26</v>
      </c>
      <c r="H169" s="3"/>
    </row>
    <row r="172" spans="1:14" x14ac:dyDescent="0.3">
      <c r="A172" s="84" t="s">
        <v>134</v>
      </c>
      <c r="B172" s="85">
        <f t="shared" ref="B172:G172" si="118">B76-B158</f>
        <v>928126.08999999985</v>
      </c>
      <c r="C172" s="85">
        <f t="shared" si="118"/>
        <v>1189584.3511299994</v>
      </c>
      <c r="D172" s="85">
        <f t="shared" si="118"/>
        <v>1367440.3482271489</v>
      </c>
      <c r="E172" s="85">
        <f t="shared" si="118"/>
        <v>1534139.4762355369</v>
      </c>
      <c r="F172" s="85">
        <f t="shared" ref="F172" si="119">F76-F158</f>
        <v>1746687.5665013837</v>
      </c>
      <c r="G172" s="85">
        <f t="shared" si="118"/>
        <v>1700651.8773348359</v>
      </c>
      <c r="H172" s="103"/>
    </row>
    <row r="174" spans="1:14" x14ac:dyDescent="0.3">
      <c r="A174" s="86" t="s">
        <v>174</v>
      </c>
      <c r="B174" s="87">
        <f t="shared" ref="B174:G174" si="120">B162</f>
        <v>0</v>
      </c>
      <c r="C174" s="87">
        <f t="shared" si="120"/>
        <v>0</v>
      </c>
      <c r="D174" s="87">
        <f t="shared" si="120"/>
        <v>0</v>
      </c>
      <c r="E174" s="87">
        <f t="shared" si="120"/>
        <v>0</v>
      </c>
      <c r="F174" s="87">
        <f t="shared" ref="F174" si="121">F162</f>
        <v>0</v>
      </c>
      <c r="G174" s="87">
        <f t="shared" si="120"/>
        <v>0</v>
      </c>
    </row>
    <row r="175" spans="1:14" x14ac:dyDescent="0.3">
      <c r="A175" s="86" t="s">
        <v>135</v>
      </c>
      <c r="B175" s="87"/>
      <c r="C175" s="87"/>
      <c r="D175" s="87"/>
      <c r="E175" s="87"/>
      <c r="F175" s="87"/>
      <c r="G175" s="87"/>
    </row>
    <row r="176" spans="1:14" x14ac:dyDescent="0.3">
      <c r="A176" s="88" t="s">
        <v>136</v>
      </c>
      <c r="B176" s="87">
        <f t="shared" ref="B176:G176" si="122">B161+B163</f>
        <v>750000</v>
      </c>
      <c r="C176" s="87">
        <f t="shared" si="122"/>
        <v>980000</v>
      </c>
      <c r="D176" s="87">
        <f t="shared" si="122"/>
        <v>1150000</v>
      </c>
      <c r="E176" s="87">
        <f t="shared" si="122"/>
        <v>1300000</v>
      </c>
      <c r="F176" s="87">
        <f t="shared" si="122"/>
        <v>1375000</v>
      </c>
      <c r="G176" s="87">
        <f t="shared" si="122"/>
        <v>1425000</v>
      </c>
    </row>
    <row r="177" spans="1:9" x14ac:dyDescent="0.3">
      <c r="A177" s="89" t="s">
        <v>137</v>
      </c>
      <c r="B177" s="90">
        <f t="shared" ref="B177:G177" si="123">SUM(B174:B176)</f>
        <v>750000</v>
      </c>
      <c r="C177" s="90">
        <f t="shared" si="123"/>
        <v>980000</v>
      </c>
      <c r="D177" s="90">
        <f t="shared" si="123"/>
        <v>1150000</v>
      </c>
      <c r="E177" s="90">
        <f t="shared" si="123"/>
        <v>1300000</v>
      </c>
      <c r="F177" s="90">
        <f t="shared" ref="F177" si="124">SUM(F174:F176)</f>
        <v>1375000</v>
      </c>
      <c r="G177" s="90">
        <f t="shared" si="123"/>
        <v>1425000</v>
      </c>
    </row>
    <row r="179" spans="1:9" x14ac:dyDescent="0.3">
      <c r="A179" s="84" t="s">
        <v>138</v>
      </c>
      <c r="B179" s="91">
        <f t="shared" ref="B179:G179" si="125">B172/B177</f>
        <v>1.2375014533333331</v>
      </c>
      <c r="C179" s="91">
        <f t="shared" si="125"/>
        <v>1.2138615827857138</v>
      </c>
      <c r="D179" s="91">
        <f t="shared" si="125"/>
        <v>1.1890785636757817</v>
      </c>
      <c r="E179" s="91">
        <f t="shared" si="125"/>
        <v>1.1801072894119515</v>
      </c>
      <c r="F179" s="91">
        <f t="shared" ref="F179" si="126">F172/F177</f>
        <v>1.2703182301828244</v>
      </c>
      <c r="G179" s="91">
        <f t="shared" si="125"/>
        <v>1.1934399139191831</v>
      </c>
    </row>
    <row r="181" spans="1:9" x14ac:dyDescent="0.3">
      <c r="A181" s="92" t="s">
        <v>139</v>
      </c>
      <c r="B181" s="92"/>
      <c r="C181" s="92"/>
      <c r="D181" s="92"/>
      <c r="E181" s="92"/>
      <c r="F181" s="92"/>
      <c r="G181" s="92"/>
    </row>
    <row r="182" spans="1:9" x14ac:dyDescent="0.3">
      <c r="A182" s="86" t="s">
        <v>172</v>
      </c>
      <c r="B182" s="101">
        <v>0</v>
      </c>
      <c r="C182" s="101">
        <f>B185</f>
        <v>178126.08999999985</v>
      </c>
      <c r="D182" s="101">
        <f>C185</f>
        <v>387710.44112999924</v>
      </c>
      <c r="E182" s="101">
        <f>D185</f>
        <v>605150.78935714811</v>
      </c>
      <c r="F182" s="101">
        <f>D185</f>
        <v>605150.78935714811</v>
      </c>
      <c r="G182" s="101">
        <f>E185</f>
        <v>839290.26559268497</v>
      </c>
    </row>
    <row r="183" spans="1:9" x14ac:dyDescent="0.3">
      <c r="A183" s="2" t="s">
        <v>140</v>
      </c>
      <c r="B183" s="102">
        <v>0</v>
      </c>
      <c r="C183" s="102">
        <v>0</v>
      </c>
      <c r="D183" s="102">
        <v>0</v>
      </c>
      <c r="E183" s="102">
        <v>0</v>
      </c>
      <c r="F183" s="102">
        <v>0</v>
      </c>
      <c r="G183" s="102">
        <v>0</v>
      </c>
    </row>
    <row r="184" spans="1:9" x14ac:dyDescent="0.3">
      <c r="A184" s="2" t="s">
        <v>141</v>
      </c>
      <c r="B184" s="101">
        <f t="shared" ref="B184:G184" si="127">B166</f>
        <v>178126.08999999985</v>
      </c>
      <c r="C184" s="101">
        <f t="shared" si="127"/>
        <v>209584.35112999938</v>
      </c>
      <c r="D184" s="101">
        <f t="shared" si="127"/>
        <v>217440.34822714888</v>
      </c>
      <c r="E184" s="101">
        <f t="shared" si="127"/>
        <v>234139.47623553686</v>
      </c>
      <c r="F184" s="101">
        <f t="shared" ref="F184" si="128">F166</f>
        <v>371687.56650138367</v>
      </c>
      <c r="G184" s="101">
        <f t="shared" si="127"/>
        <v>275651.87733483594</v>
      </c>
    </row>
    <row r="185" spans="1:9" x14ac:dyDescent="0.3">
      <c r="A185" s="93" t="s">
        <v>142</v>
      </c>
      <c r="B185" s="100">
        <f t="shared" ref="B185:E185" si="129">B182+B183+B184</f>
        <v>178126.08999999985</v>
      </c>
      <c r="C185" s="100">
        <f t="shared" si="129"/>
        <v>387710.44112999924</v>
      </c>
      <c r="D185" s="100">
        <f t="shared" si="129"/>
        <v>605150.78935714811</v>
      </c>
      <c r="E185" s="100">
        <f t="shared" si="129"/>
        <v>839290.26559268497</v>
      </c>
      <c r="F185" s="100">
        <f>F182+F183+F184</f>
        <v>976838.35585853178</v>
      </c>
      <c r="G185" s="100">
        <f>G182+G183+G184</f>
        <v>1114942.1429275209</v>
      </c>
    </row>
    <row r="186" spans="1:9" x14ac:dyDescent="0.3">
      <c r="A186" s="84" t="s">
        <v>143</v>
      </c>
      <c r="B186" s="91">
        <f t="shared" ref="B186:E186" si="130">B185/((B158+B161+B162+B163)/365)</f>
        <v>12.85102745772576</v>
      </c>
      <c r="C186" s="91">
        <f t="shared" si="130"/>
        <v>22.512246967568686</v>
      </c>
      <c r="D186" s="91">
        <f t="shared" si="130"/>
        <v>31.148011009852699</v>
      </c>
      <c r="E186" s="91">
        <f t="shared" si="130"/>
        <v>39.847347209157121</v>
      </c>
      <c r="F186" s="91">
        <f>F185/((F158+F161+F162+F163)/365)</f>
        <v>44.875491660096188</v>
      </c>
      <c r="G186" s="91">
        <f>G185/((G158+G161+G162+G163)/365)</f>
        <v>49.912677441518014</v>
      </c>
    </row>
    <row r="188" spans="1:9" x14ac:dyDescent="0.3">
      <c r="I188" s="145" t="s">
        <v>247</v>
      </c>
    </row>
    <row r="189" spans="1:9" x14ac:dyDescent="0.3">
      <c r="A189" s="97" t="s">
        <v>161</v>
      </c>
      <c r="B189" s="98">
        <f t="shared" ref="B189" si="131">B107/SUM(B158:B163)</f>
        <v>0.3880251497460131</v>
      </c>
      <c r="C189" s="98">
        <f t="shared" ref="C189:G189" si="132">C107/SUM(C158:C163)</f>
        <v>0.37759401475858689</v>
      </c>
      <c r="D189" s="98">
        <f t="shared" si="132"/>
        <v>0.37720275719029678</v>
      </c>
      <c r="E189" s="98">
        <f t="shared" si="132"/>
        <v>0.37441621886002868</v>
      </c>
      <c r="F189" s="98">
        <f t="shared" si="132"/>
        <v>0.37779519444549953</v>
      </c>
      <c r="G189" s="98">
        <f t="shared" si="132"/>
        <v>0.3837103373089758</v>
      </c>
      <c r="I189" s="143">
        <f>AVERAGE(B189:G189)</f>
        <v>0.37979061205156678</v>
      </c>
    </row>
    <row r="190" spans="1:9" x14ac:dyDescent="0.3">
      <c r="A190" s="97" t="s">
        <v>162</v>
      </c>
      <c r="B190" s="98">
        <f t="shared" ref="B190" si="133">SUM(B108:B109)/SUM(B158:B163)</f>
        <v>0.18140175750626111</v>
      </c>
      <c r="C190" s="98">
        <f t="shared" ref="C190:G190" si="134">SUM(C108:C109)/SUM(C158:C163)</f>
        <v>0.17841317197343229</v>
      </c>
      <c r="D190" s="98">
        <f t="shared" si="134"/>
        <v>0.18011431655836668</v>
      </c>
      <c r="E190" s="98">
        <f t="shared" si="134"/>
        <v>0.18065582559996385</v>
      </c>
      <c r="F190" s="98">
        <f t="shared" si="134"/>
        <v>0.18417515729218098</v>
      </c>
      <c r="G190" s="98">
        <f t="shared" si="134"/>
        <v>0.18897734112467057</v>
      </c>
      <c r="I190" s="143">
        <f t="shared" ref="I190:I201" si="135">AVERAGE(B190:G190)</f>
        <v>0.18228959500914588</v>
      </c>
    </row>
    <row r="191" spans="1:9" x14ac:dyDescent="0.3">
      <c r="A191" s="97" t="s">
        <v>29</v>
      </c>
      <c r="B191" s="98">
        <f t="shared" ref="B191" si="136">B129/SUM(B158:B163)</f>
        <v>2.3007553069347422E-3</v>
      </c>
      <c r="C191" s="98">
        <f t="shared" ref="C191:G191" si="137">C129/SUM(C158:C163)</f>
        <v>2.1762289362327897E-3</v>
      </c>
      <c r="D191" s="98">
        <f t="shared" si="137"/>
        <v>2.0983444578388977E-3</v>
      </c>
      <c r="E191" s="98">
        <f t="shared" si="137"/>
        <v>2.0603905096432699E-3</v>
      </c>
      <c r="F191" s="98">
        <f t="shared" si="137"/>
        <v>2.0540632179917233E-3</v>
      </c>
      <c r="G191" s="98">
        <f t="shared" si="137"/>
        <v>2.0605110744961845E-3</v>
      </c>
      <c r="I191" s="143">
        <f t="shared" si="135"/>
        <v>2.1250489171896012E-3</v>
      </c>
    </row>
    <row r="192" spans="1:9" x14ac:dyDescent="0.3">
      <c r="A192" s="97" t="s">
        <v>163</v>
      </c>
      <c r="B192" s="98">
        <f t="shared" ref="B192" si="138">(B128+B138+B139)/SUM(B158:B163)</f>
        <v>7.1261302028065396E-2</v>
      </c>
      <c r="C192" s="98">
        <f t="shared" ref="C192:G192" si="139">(C128+C138+C139)/SUM(C158:C163)</f>
        <v>6.7396391759740853E-2</v>
      </c>
      <c r="D192" s="98">
        <f t="shared" si="139"/>
        <v>6.6381513495062855E-2</v>
      </c>
      <c r="E192" s="98">
        <f t="shared" si="139"/>
        <v>6.5595062944458341E-2</v>
      </c>
      <c r="F192" s="98">
        <f t="shared" si="139"/>
        <v>6.5650656074286412E-2</v>
      </c>
      <c r="G192" s="98">
        <f t="shared" si="139"/>
        <v>6.4097904373231512E-2</v>
      </c>
      <c r="I192" s="143">
        <f t="shared" si="135"/>
        <v>6.673047177914089E-2</v>
      </c>
    </row>
    <row r="193" spans="1:9" x14ac:dyDescent="0.3">
      <c r="A193" s="97" t="s">
        <v>164</v>
      </c>
      <c r="B193" s="98">
        <f t="shared" ref="B193" si="140">(B126+B112+B127)/SUM(B158:B163)</f>
        <v>3.4723813448948523E-2</v>
      </c>
      <c r="C193" s="98">
        <f t="shared" ref="C193:G193" si="141">(C126+C112+C127)/SUM(C158:C163)</f>
        <v>3.3344981529514255E-2</v>
      </c>
      <c r="D193" s="98">
        <f t="shared" si="141"/>
        <v>3.3354228688867289E-2</v>
      </c>
      <c r="E193" s="98">
        <f t="shared" si="141"/>
        <v>3.3309646572566201E-2</v>
      </c>
      <c r="F193" s="98">
        <f t="shared" si="141"/>
        <v>3.3801422660775564E-2</v>
      </c>
      <c r="G193" s="98">
        <f t="shared" si="141"/>
        <v>3.3747001318311022E-2</v>
      </c>
      <c r="I193" s="143">
        <f t="shared" si="135"/>
        <v>3.3713515703163811E-2</v>
      </c>
    </row>
    <row r="194" spans="1:9" x14ac:dyDescent="0.3">
      <c r="A194" s="97" t="s">
        <v>165</v>
      </c>
      <c r="B194" s="98">
        <f t="shared" ref="B194" si="142">(B116+B135)/SUM(B158:B163)</f>
        <v>3.3997415188382792E-2</v>
      </c>
      <c r="C194" s="98">
        <f t="shared" ref="C194:G194" si="143">(C116+C135)/SUM(C158:C163)</f>
        <v>4.1679238398610444E-2</v>
      </c>
      <c r="D194" s="98">
        <f t="shared" si="143"/>
        <v>4.145922517504274E-2</v>
      </c>
      <c r="E194" s="98">
        <f t="shared" si="143"/>
        <v>4.1201306434943546E-2</v>
      </c>
      <c r="F194" s="98">
        <f t="shared" si="143"/>
        <v>2.5770186512488073E-2</v>
      </c>
      <c r="G194" s="98">
        <f t="shared" si="143"/>
        <v>1.6635867313510491E-2</v>
      </c>
      <c r="I194" s="143">
        <f t="shared" si="135"/>
        <v>3.3457206503829683E-2</v>
      </c>
    </row>
    <row r="195" spans="1:9" x14ac:dyDescent="0.3">
      <c r="A195" s="97" t="s">
        <v>166</v>
      </c>
      <c r="B195" s="98">
        <f t="shared" ref="B195" si="144">(B115+B117+B118+B119+B120+B121)/SUM(B158:B163)</f>
        <v>9.4070057188692657E-3</v>
      </c>
      <c r="C195" s="98">
        <f t="shared" ref="C195:G195" si="145">(C115+C117+C118+C119+C120+C121)/SUM(C158:C163)</f>
        <v>1.9770276296574463E-2</v>
      </c>
      <c r="D195" s="98">
        <f t="shared" si="145"/>
        <v>1.9436479611823609E-2</v>
      </c>
      <c r="E195" s="98">
        <f t="shared" si="145"/>
        <v>1.9170216700139259E-2</v>
      </c>
      <c r="F195" s="98">
        <f t="shared" si="145"/>
        <v>1.9150111932835581E-2</v>
      </c>
      <c r="G195" s="98">
        <f t="shared" si="145"/>
        <v>1.8661361964687113E-2</v>
      </c>
      <c r="I195" s="143">
        <f t="shared" si="135"/>
        <v>1.7599242037488215E-2</v>
      </c>
    </row>
    <row r="196" spans="1:9" x14ac:dyDescent="0.3">
      <c r="A196" s="97" t="s">
        <v>167</v>
      </c>
      <c r="B196" s="98">
        <f t="shared" ref="B196" si="146">(SUM(B161:B163)+B143+B156)/SUM(B158:B163)</f>
        <v>0.211707043522216</v>
      </c>
      <c r="C196" s="98">
        <f t="shared" ref="C196:G196" si="147">(SUM(C161:C163)+C143+C156)/SUM(C158:C163)</f>
        <v>0.21217770793188187</v>
      </c>
      <c r="D196" s="98">
        <f t="shared" si="147"/>
        <v>0.21473459903834716</v>
      </c>
      <c r="E196" s="98">
        <f t="shared" si="147"/>
        <v>0.21938273101832681</v>
      </c>
      <c r="F196" s="98">
        <f t="shared" si="147"/>
        <v>0.22402265430841015</v>
      </c>
      <c r="G196" s="98">
        <f t="shared" si="147"/>
        <v>0.22578981961368055</v>
      </c>
      <c r="I196" s="143">
        <f t="shared" si="135"/>
        <v>0.21796909257214372</v>
      </c>
    </row>
    <row r="197" spans="1:9" x14ac:dyDescent="0.3">
      <c r="A197" s="97" t="s">
        <v>36</v>
      </c>
      <c r="B197" s="98">
        <f>(B122)/SUM(B158:B163)</f>
        <v>0</v>
      </c>
      <c r="C197" s="98">
        <f t="shared" ref="C197:G197" si="148">(C122)/SUM(C158:C163)</f>
        <v>0</v>
      </c>
      <c r="D197" s="98">
        <f t="shared" si="148"/>
        <v>0</v>
      </c>
      <c r="E197" s="98">
        <f t="shared" si="148"/>
        <v>0</v>
      </c>
      <c r="F197" s="98">
        <f t="shared" si="148"/>
        <v>0</v>
      </c>
      <c r="G197" s="98">
        <f t="shared" si="148"/>
        <v>0</v>
      </c>
      <c r="I197" s="143">
        <f t="shared" si="135"/>
        <v>0</v>
      </c>
    </row>
    <row r="198" spans="1:9" x14ac:dyDescent="0.3">
      <c r="A198" s="97" t="s">
        <v>168</v>
      </c>
      <c r="B198" s="98">
        <f t="shared" ref="B198" si="149">B125/SUM(B158:B163)</f>
        <v>4.941484765753312E-4</v>
      </c>
      <c r="C198" s="98">
        <f t="shared" ref="C198:G198" si="150">C125/SUM(C158:C163)</f>
        <v>3.9770265647529052E-4</v>
      </c>
      <c r="D198" s="98">
        <f t="shared" si="150"/>
        <v>3.525444317605675E-4</v>
      </c>
      <c r="E198" s="98">
        <f t="shared" si="150"/>
        <v>3.2518789609268779E-4</v>
      </c>
      <c r="F198" s="98">
        <f t="shared" si="150"/>
        <v>3.1465429197177134E-4</v>
      </c>
      <c r="G198" s="98">
        <f t="shared" si="150"/>
        <v>3.0662367180002745E-4</v>
      </c>
      <c r="I198" s="143">
        <f t="shared" si="135"/>
        <v>3.6514357077927932E-4</v>
      </c>
    </row>
    <row r="199" spans="1:9" x14ac:dyDescent="0.3">
      <c r="A199" s="97" t="s">
        <v>169</v>
      </c>
      <c r="B199" s="98">
        <f t="shared" ref="B199" si="151">(B130+B131)/SUM(B158:B163)</f>
        <v>1.0871266484657287E-3</v>
      </c>
      <c r="C199" s="98">
        <f t="shared" ref="C199:G199" si="152">(C130+C131)/SUM(C158:C163)</f>
        <v>4.0740660129328756E-3</v>
      </c>
      <c r="D199" s="98">
        <f t="shared" si="152"/>
        <v>3.6272873530526677E-3</v>
      </c>
      <c r="E199" s="98">
        <f t="shared" si="152"/>
        <v>3.3607055617823063E-3</v>
      </c>
      <c r="F199" s="98">
        <f t="shared" si="152"/>
        <v>3.2518443698986857E-3</v>
      </c>
      <c r="G199" s="98">
        <f t="shared" si="152"/>
        <v>3.1831678858222166E-3</v>
      </c>
      <c r="I199" s="143">
        <f t="shared" si="135"/>
        <v>3.0973663053257467E-3</v>
      </c>
    </row>
    <row r="200" spans="1:9" x14ac:dyDescent="0.3">
      <c r="A200" s="97" t="s">
        <v>170</v>
      </c>
      <c r="B200" s="98">
        <f>(B132+B133+B134+B136+B140)/SUM(B158:B163)</f>
        <v>1.4013260158113872E-2</v>
      </c>
      <c r="C200" s="98">
        <f t="shared" ref="C200:G200" si="153">(C132+C133+C134+C136+C140)/SUM(C158:C163)</f>
        <v>1.0880190194788407E-2</v>
      </c>
      <c r="D200" s="98">
        <f t="shared" si="153"/>
        <v>9.9614954638265942E-3</v>
      </c>
      <c r="E200" s="98">
        <f t="shared" si="153"/>
        <v>9.6706327667420051E-3</v>
      </c>
      <c r="F200" s="98">
        <f t="shared" si="153"/>
        <v>9.6669507523881471E-3</v>
      </c>
      <c r="G200" s="98">
        <f t="shared" si="153"/>
        <v>9.5693116214811084E-3</v>
      </c>
      <c r="I200" s="143">
        <f t="shared" si="135"/>
        <v>1.0626973492890024E-2</v>
      </c>
    </row>
    <row r="201" spans="1:9" x14ac:dyDescent="0.3">
      <c r="A201" s="97" t="s">
        <v>171</v>
      </c>
      <c r="B201" s="98">
        <f>(B111+B123+B137+B141+B142+B144+B145+B124)/SUM(B158:B163)</f>
        <v>5.1581222251154066E-2</v>
      </c>
      <c r="C201" s="98">
        <f t="shared" ref="C201:G201" si="154">(C111+C123+C137+C141+C142+C144+C145+C124)/SUM(C158:C163)</f>
        <v>5.2096029551229585E-2</v>
      </c>
      <c r="D201" s="98">
        <f t="shared" si="154"/>
        <v>5.1277208535714144E-2</v>
      </c>
      <c r="E201" s="98">
        <f t="shared" si="154"/>
        <v>5.0852075135313111E-2</v>
      </c>
      <c r="F201" s="98">
        <f t="shared" si="154"/>
        <v>5.4347104141273375E-2</v>
      </c>
      <c r="G201" s="98">
        <f t="shared" si="154"/>
        <v>5.3260752729333366E-2</v>
      </c>
      <c r="I201" s="143">
        <f t="shared" si="135"/>
        <v>5.2235732057336282E-2</v>
      </c>
    </row>
    <row r="202" spans="1:9" x14ac:dyDescent="0.3">
      <c r="A202"/>
      <c r="B202"/>
      <c r="C202"/>
      <c r="D202"/>
      <c r="E202"/>
      <c r="F202"/>
      <c r="G202"/>
      <c r="I202" s="144"/>
    </row>
    <row r="203" spans="1:9" x14ac:dyDescent="0.3">
      <c r="A203"/>
      <c r="B203" s="99">
        <f>SUM(B189:B202)</f>
        <v>0.99999999999999989</v>
      </c>
      <c r="C203" s="99">
        <f t="shared" ref="C203:G203" si="155">SUM(C189:C202)</f>
        <v>1</v>
      </c>
      <c r="D203" s="99">
        <f t="shared" si="155"/>
        <v>0.99999999999999989</v>
      </c>
      <c r="E203" s="99">
        <f t="shared" si="155"/>
        <v>1.0000000000000002</v>
      </c>
      <c r="F203" s="99">
        <f t="shared" ref="F203" si="156">SUM(F189:F202)</f>
        <v>1</v>
      </c>
      <c r="G203" s="99">
        <f t="shared" si="155"/>
        <v>0.99999999999999989</v>
      </c>
      <c r="I203" s="143">
        <f>SUM(I189:I202)</f>
        <v>1</v>
      </c>
    </row>
  </sheetData>
  <pageMargins left="0.7" right="0.7" top="0.75" bottom="0.75" header="0.3" footer="0.3"/>
  <pageSetup scale="54" orientation="portrait" r:id="rId1"/>
  <rowBreaks count="1" manualBreakCount="1">
    <brk id="82" max="6" man="1"/>
  </rowBreaks>
  <ignoredErrors>
    <ignoredError sqref="G36:G38 B36:E38" unlockedFormula="1"/>
    <ignoredError sqref="G151 C151:E1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="70" zoomScaleNormal="70" workbookViewId="0">
      <selection activeCell="B1" sqref="B1:M23"/>
    </sheetView>
  </sheetViews>
  <sheetFormatPr defaultColWidth="8.88671875" defaultRowHeight="15.6" x14ac:dyDescent="0.3"/>
  <cols>
    <col min="1" max="2" width="8.88671875" style="136"/>
    <col min="3" max="3" width="22.44140625" style="136" customWidth="1"/>
    <col min="4" max="5" width="15" style="136" bestFit="1" customWidth="1"/>
    <col min="6" max="6" width="14.5546875" style="136" bestFit="1" customWidth="1"/>
    <col min="7" max="8" width="14" style="136" bestFit="1" customWidth="1"/>
    <col min="9" max="9" width="14.5546875" style="136" bestFit="1" customWidth="1"/>
    <col min="10" max="10" width="15.5546875" style="136" customWidth="1"/>
    <col min="11" max="11" width="14.5546875" style="136" customWidth="1"/>
    <col min="12" max="12" width="8.88671875" style="136"/>
    <col min="13" max="16384" width="8.88671875" style="135"/>
  </cols>
  <sheetData>
    <row r="1" spans="2:11" x14ac:dyDescent="0.3"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2:11" x14ac:dyDescent="0.3">
      <c r="B2" s="177"/>
      <c r="C2" s="177"/>
      <c r="D2" s="148" t="s">
        <v>203</v>
      </c>
      <c r="E2" s="148" t="s">
        <v>202</v>
      </c>
      <c r="F2" s="148" t="s">
        <v>201</v>
      </c>
      <c r="G2" s="148" t="s">
        <v>200</v>
      </c>
      <c r="H2" s="148" t="s">
        <v>199</v>
      </c>
      <c r="I2" s="148" t="s">
        <v>198</v>
      </c>
      <c r="J2" s="177"/>
      <c r="K2" s="177"/>
    </row>
    <row r="3" spans="2:11" x14ac:dyDescent="0.3">
      <c r="B3" s="177"/>
      <c r="C3" s="178" t="s">
        <v>206</v>
      </c>
      <c r="D3" s="179">
        <f>'PANN - 6-Year'!B3</f>
        <v>688</v>
      </c>
      <c r="E3" s="179">
        <f>'PANN - 6-Year'!C3</f>
        <v>807</v>
      </c>
      <c r="F3" s="179">
        <f>'PANN - 6-Year'!D3</f>
        <v>895</v>
      </c>
      <c r="G3" s="179">
        <f>'PANN - 6-Year'!E3</f>
        <v>957</v>
      </c>
      <c r="H3" s="179">
        <f>'PANN - 6-Year'!F3</f>
        <v>988</v>
      </c>
      <c r="I3" s="179">
        <f>'PANN - 6-Year'!G3</f>
        <v>988</v>
      </c>
      <c r="J3" s="177"/>
      <c r="K3" s="177"/>
    </row>
    <row r="4" spans="2:11" ht="30.6" x14ac:dyDescent="0.3">
      <c r="B4" s="177"/>
      <c r="C4" s="180" t="s">
        <v>205</v>
      </c>
      <c r="D4" s="181">
        <f>D3*1000</f>
        <v>688000</v>
      </c>
      <c r="E4" s="181">
        <f>(E3-D3)*1000</f>
        <v>119000</v>
      </c>
      <c r="F4" s="181">
        <f>(F3-E3)*1000</f>
        <v>88000</v>
      </c>
      <c r="G4" s="181">
        <f>(G3-F3)*1000</f>
        <v>62000</v>
      </c>
      <c r="H4" s="181">
        <f>IF(((H3-G3)*1000)&gt;50000,((H3-G3)*1000),50000)</f>
        <v>50000</v>
      </c>
      <c r="I4" s="181">
        <f>IF(((I3-H3)*1000)&gt;50000,((I3-H3)*1000),50000)</f>
        <v>50000</v>
      </c>
      <c r="J4" s="177"/>
      <c r="K4" s="177"/>
    </row>
    <row r="5" spans="2:11" x14ac:dyDescent="0.3">
      <c r="B5" s="177"/>
      <c r="C5" s="182"/>
      <c r="D5" s="183"/>
      <c r="E5" s="183"/>
      <c r="F5" s="183"/>
      <c r="G5" s="183"/>
      <c r="H5" s="183"/>
      <c r="I5" s="177"/>
      <c r="J5" s="177"/>
      <c r="K5" s="177"/>
    </row>
    <row r="6" spans="2:11" x14ac:dyDescent="0.3">
      <c r="B6" s="177"/>
      <c r="C6" s="184" t="s">
        <v>204</v>
      </c>
      <c r="D6" s="148" t="s">
        <v>203</v>
      </c>
      <c r="E6" s="148" t="s">
        <v>202</v>
      </c>
      <c r="F6" s="148" t="s">
        <v>201</v>
      </c>
      <c r="G6" s="148" t="s">
        <v>200</v>
      </c>
      <c r="H6" s="148" t="s">
        <v>199</v>
      </c>
      <c r="I6" s="148" t="s">
        <v>198</v>
      </c>
      <c r="J6" s="184" t="s">
        <v>5</v>
      </c>
      <c r="K6" s="184" t="s">
        <v>197</v>
      </c>
    </row>
    <row r="7" spans="2:11" x14ac:dyDescent="0.3">
      <c r="B7" s="195"/>
      <c r="C7" s="184">
        <v>2021</v>
      </c>
      <c r="D7" s="185">
        <v>126753.2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6">
        <f t="shared" ref="J7:J16" si="0">SUM(D7:I7)</f>
        <v>126753.2</v>
      </c>
      <c r="K7" s="187" t="s">
        <v>196</v>
      </c>
    </row>
    <row r="8" spans="2:11" x14ac:dyDescent="0.3">
      <c r="B8" s="195"/>
      <c r="C8" s="184">
        <v>2022</v>
      </c>
      <c r="D8" s="185">
        <v>190129.8</v>
      </c>
      <c r="E8" s="181">
        <v>21923.919999999998</v>
      </c>
      <c r="F8" s="181">
        <v>0</v>
      </c>
      <c r="G8" s="181">
        <v>0</v>
      </c>
      <c r="H8" s="181">
        <v>0</v>
      </c>
      <c r="I8" s="181">
        <v>0</v>
      </c>
      <c r="J8" s="186">
        <f t="shared" si="0"/>
        <v>212053.71999999997</v>
      </c>
      <c r="K8" s="187" t="s">
        <v>195</v>
      </c>
    </row>
    <row r="9" spans="2:11" x14ac:dyDescent="0.3">
      <c r="B9" s="195"/>
      <c r="C9" s="184">
        <v>2023</v>
      </c>
      <c r="D9" s="185">
        <v>190129.8</v>
      </c>
      <c r="E9" s="181">
        <v>32885.879999999997</v>
      </c>
      <c r="F9" s="181">
        <v>16212.64</v>
      </c>
      <c r="G9" s="181">
        <v>0</v>
      </c>
      <c r="H9" s="181">
        <v>0</v>
      </c>
      <c r="I9" s="181">
        <v>0</v>
      </c>
      <c r="J9" s="186">
        <f t="shared" si="0"/>
        <v>239228.32</v>
      </c>
      <c r="K9" s="187" t="s">
        <v>194</v>
      </c>
    </row>
    <row r="10" spans="2:11" x14ac:dyDescent="0.3">
      <c r="B10" s="195"/>
      <c r="C10" s="184">
        <v>2024</v>
      </c>
      <c r="D10" s="185">
        <v>190129.8</v>
      </c>
      <c r="E10" s="181">
        <v>32885.879999999997</v>
      </c>
      <c r="F10" s="181">
        <v>24318.959999999999</v>
      </c>
      <c r="G10" s="181">
        <v>11422.56</v>
      </c>
      <c r="H10" s="181">
        <v>0</v>
      </c>
      <c r="I10" s="181">
        <v>0</v>
      </c>
      <c r="J10" s="186">
        <f t="shared" si="0"/>
        <v>258757.19999999998</v>
      </c>
      <c r="K10" s="187" t="s">
        <v>193</v>
      </c>
    </row>
    <row r="11" spans="2:11" x14ac:dyDescent="0.3">
      <c r="B11" s="195"/>
      <c r="C11" s="184">
        <v>2025</v>
      </c>
      <c r="D11" s="181">
        <v>63376.6</v>
      </c>
      <c r="E11" s="181">
        <v>32885.879999999997</v>
      </c>
      <c r="F11" s="181">
        <v>24318.959999999999</v>
      </c>
      <c r="G11" s="181">
        <v>17133.84</v>
      </c>
      <c r="H11" s="181">
        <v>9211.68</v>
      </c>
      <c r="I11" s="181">
        <v>0</v>
      </c>
      <c r="J11" s="186">
        <f t="shared" si="0"/>
        <v>146926.96</v>
      </c>
      <c r="K11" s="187" t="s">
        <v>192</v>
      </c>
    </row>
    <row r="12" spans="2:11" x14ac:dyDescent="0.3">
      <c r="B12" s="195"/>
      <c r="C12" s="184">
        <v>2026</v>
      </c>
      <c r="D12" s="181">
        <v>0</v>
      </c>
      <c r="E12" s="181">
        <v>10961.96</v>
      </c>
      <c r="F12" s="181">
        <v>24318.959999999999</v>
      </c>
      <c r="G12" s="181">
        <v>17133.84</v>
      </c>
      <c r="H12" s="181">
        <v>13817.52</v>
      </c>
      <c r="I12" s="181">
        <v>9211.68</v>
      </c>
      <c r="J12" s="186">
        <f t="shared" si="0"/>
        <v>75443.959999999992</v>
      </c>
      <c r="K12" s="187" t="s">
        <v>191</v>
      </c>
    </row>
    <row r="13" spans="2:11" x14ac:dyDescent="0.3">
      <c r="B13" s="195"/>
      <c r="C13" s="184">
        <v>2027</v>
      </c>
      <c r="D13" s="181">
        <v>0</v>
      </c>
      <c r="E13" s="181">
        <v>0</v>
      </c>
      <c r="F13" s="181">
        <v>8106.32</v>
      </c>
      <c r="G13" s="181">
        <v>17133.84</v>
      </c>
      <c r="H13" s="181">
        <v>13817.52</v>
      </c>
      <c r="I13" s="181">
        <v>13817.52</v>
      </c>
      <c r="J13" s="186">
        <f t="shared" si="0"/>
        <v>52875.199999999997</v>
      </c>
      <c r="K13" s="188"/>
    </row>
    <row r="14" spans="2:11" x14ac:dyDescent="0.3">
      <c r="B14" s="195"/>
      <c r="C14" s="184">
        <v>2028</v>
      </c>
      <c r="D14" s="181">
        <v>0</v>
      </c>
      <c r="E14" s="181">
        <v>0</v>
      </c>
      <c r="F14" s="181">
        <v>0</v>
      </c>
      <c r="G14" s="181">
        <v>5711.28</v>
      </c>
      <c r="H14" s="181">
        <v>13817.52</v>
      </c>
      <c r="I14" s="181">
        <v>13817.52</v>
      </c>
      <c r="J14" s="186">
        <f t="shared" si="0"/>
        <v>33346.32</v>
      </c>
      <c r="K14" s="188"/>
    </row>
    <row r="15" spans="2:11" x14ac:dyDescent="0.3">
      <c r="B15" s="177"/>
      <c r="C15" s="184">
        <v>2029</v>
      </c>
      <c r="D15" s="181">
        <v>0</v>
      </c>
      <c r="E15" s="181">
        <v>0</v>
      </c>
      <c r="F15" s="181">
        <v>0</v>
      </c>
      <c r="G15" s="181">
        <v>0</v>
      </c>
      <c r="H15" s="181">
        <v>4605.84</v>
      </c>
      <c r="I15" s="181">
        <v>13817.52</v>
      </c>
      <c r="J15" s="186">
        <f t="shared" si="0"/>
        <v>18423.36</v>
      </c>
      <c r="K15" s="188"/>
    </row>
    <row r="16" spans="2:11" x14ac:dyDescent="0.3">
      <c r="B16" s="177"/>
      <c r="C16" s="184">
        <v>2030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4605.84</v>
      </c>
      <c r="J16" s="186">
        <f t="shared" si="0"/>
        <v>4605.84</v>
      </c>
      <c r="K16" s="188"/>
    </row>
    <row r="17" spans="2:11" x14ac:dyDescent="0.3">
      <c r="B17" s="177"/>
      <c r="C17" s="177"/>
      <c r="D17" s="177"/>
      <c r="E17" s="177"/>
      <c r="F17" s="177"/>
      <c r="G17" s="177"/>
      <c r="H17" s="177"/>
      <c r="I17" s="177"/>
      <c r="J17" s="177"/>
      <c r="K17" s="177"/>
    </row>
    <row r="18" spans="2:11" x14ac:dyDescent="0.3">
      <c r="B18" s="177"/>
      <c r="C18" s="189"/>
      <c r="D18" s="177"/>
      <c r="E18" s="177"/>
      <c r="F18" s="177"/>
      <c r="G18" s="177"/>
      <c r="H18" s="177"/>
      <c r="I18" s="177"/>
      <c r="J18" s="177"/>
      <c r="K18" s="177"/>
    </row>
    <row r="21" spans="2:11" x14ac:dyDescent="0.3">
      <c r="D21" s="139"/>
    </row>
    <row r="22" spans="2:11" x14ac:dyDescent="0.3">
      <c r="D22" s="138"/>
      <c r="H22" s="137"/>
    </row>
    <row r="23" spans="2:11" x14ac:dyDescent="0.3">
      <c r="H23" s="137"/>
    </row>
    <row r="24" spans="2:11" x14ac:dyDescent="0.3">
      <c r="H24" s="137"/>
    </row>
    <row r="25" spans="2:11" x14ac:dyDescent="0.3">
      <c r="H25" s="137"/>
    </row>
    <row r="26" spans="2:11" x14ac:dyDescent="0.3">
      <c r="H26" s="137"/>
    </row>
    <row r="27" spans="2:11" x14ac:dyDescent="0.3">
      <c r="H27" s="137"/>
    </row>
    <row r="28" spans="2:11" x14ac:dyDescent="0.3">
      <c r="H28" s="137"/>
    </row>
  </sheetData>
  <mergeCells count="1">
    <mergeCell ref="B7:B14"/>
  </mergeCells>
  <pageMargins left="0.7" right="0.7" top="0.75" bottom="0.75" header="0.3" footer="0.3"/>
  <pageSetup scale="5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R98"/>
  <sheetViews>
    <sheetView topLeftCell="A79" zoomScale="70" zoomScaleNormal="70" workbookViewId="0">
      <selection activeCell="A5" sqref="A5:J28"/>
    </sheetView>
  </sheetViews>
  <sheetFormatPr defaultColWidth="8.88671875" defaultRowHeight="13.8" x14ac:dyDescent="0.25"/>
  <cols>
    <col min="1" max="1" width="8.88671875" style="147"/>
    <col min="2" max="2" width="38.5546875" style="147" bestFit="1" customWidth="1"/>
    <col min="3" max="3" width="25.5546875" style="147" bestFit="1" customWidth="1"/>
    <col min="4" max="4" width="18" style="147" bestFit="1" customWidth="1"/>
    <col min="5" max="5" width="16" style="147" customWidth="1"/>
    <col min="6" max="6" width="15.88671875" style="147" customWidth="1"/>
    <col min="7" max="7" width="14.88671875" style="147" customWidth="1"/>
    <col min="8" max="8" width="14.5546875" style="147" customWidth="1"/>
    <col min="9" max="9" width="15.44140625" style="147" customWidth="1"/>
    <col min="10" max="10" width="3.44140625" style="147" customWidth="1"/>
    <col min="11" max="11" width="41.109375" style="147" bestFit="1" customWidth="1"/>
    <col min="12" max="16384" width="8.88671875" style="147"/>
  </cols>
  <sheetData>
    <row r="5" spans="1:10" ht="15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5" x14ac:dyDescent="0.25">
      <c r="A6" s="146"/>
      <c r="B6" s="146"/>
      <c r="C6" s="146"/>
      <c r="D6" s="148" t="s">
        <v>145</v>
      </c>
      <c r="E6" s="148" t="s">
        <v>146</v>
      </c>
      <c r="F6" s="148" t="s">
        <v>147</v>
      </c>
      <c r="G6" s="148" t="s">
        <v>148</v>
      </c>
      <c r="H6" s="148" t="s">
        <v>149</v>
      </c>
      <c r="I6" s="148" t="s">
        <v>150</v>
      </c>
      <c r="J6" s="146"/>
    </row>
    <row r="7" spans="1:10" ht="15" x14ac:dyDescent="0.25">
      <c r="A7" s="146"/>
      <c r="B7" s="146"/>
      <c r="C7" s="149" t="s">
        <v>160</v>
      </c>
      <c r="D7" s="150">
        <f>'PANN - 6-Year'!B3</f>
        <v>688</v>
      </c>
      <c r="E7" s="150">
        <f>'PANN - 6-Year'!C3</f>
        <v>807</v>
      </c>
      <c r="F7" s="150">
        <f>'PANN - 6-Year'!D3</f>
        <v>895</v>
      </c>
      <c r="G7" s="150">
        <f>'PANN - 6-Year'!E3</f>
        <v>957</v>
      </c>
      <c r="H7" s="150">
        <f>'PANN - 6-Year'!F3</f>
        <v>988</v>
      </c>
      <c r="I7" s="150">
        <f>'PANN - 6-Year'!G3</f>
        <v>988</v>
      </c>
      <c r="J7" s="146"/>
    </row>
    <row r="8" spans="1:10" ht="15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5" x14ac:dyDescent="0.25">
      <c r="A9" s="146"/>
      <c r="B9" s="198" t="s">
        <v>237</v>
      </c>
      <c r="C9" s="198"/>
      <c r="D9" s="198"/>
      <c r="E9" s="198"/>
      <c r="F9" s="198"/>
      <c r="G9" s="198"/>
      <c r="H9" s="198"/>
      <c r="I9" s="198"/>
      <c r="J9" s="146"/>
    </row>
    <row r="10" spans="1:10" ht="15.6" thickBot="1" x14ac:dyDescent="0.3">
      <c r="A10" s="146"/>
      <c r="B10" s="151"/>
      <c r="C10" s="152"/>
      <c r="D10" s="199" t="s">
        <v>236</v>
      </c>
      <c r="E10" s="199"/>
      <c r="F10" s="199"/>
      <c r="G10" s="199"/>
      <c r="H10" s="199"/>
      <c r="I10" s="199"/>
      <c r="J10" s="146"/>
    </row>
    <row r="11" spans="1:10" ht="15" x14ac:dyDescent="0.25">
      <c r="A11" s="146"/>
      <c r="B11" s="148" t="s">
        <v>159</v>
      </c>
      <c r="C11" s="148" t="s">
        <v>158</v>
      </c>
      <c r="D11" s="148" t="s">
        <v>145</v>
      </c>
      <c r="E11" s="148" t="s">
        <v>146</v>
      </c>
      <c r="F11" s="148" t="s">
        <v>147</v>
      </c>
      <c r="G11" s="148" t="s">
        <v>148</v>
      </c>
      <c r="H11" s="148" t="s">
        <v>149</v>
      </c>
      <c r="I11" s="148" t="s">
        <v>150</v>
      </c>
      <c r="J11" s="146"/>
    </row>
    <row r="12" spans="1:10" ht="15" x14ac:dyDescent="0.25">
      <c r="A12" s="146"/>
      <c r="B12" s="153" t="s">
        <v>70</v>
      </c>
      <c r="C12" s="154" t="s">
        <v>243</v>
      </c>
      <c r="D12" s="155">
        <f>'PANN - 6-Year'!B40</f>
        <v>1</v>
      </c>
      <c r="E12" s="155">
        <f>'PANN - 6-Year'!C40</f>
        <v>1</v>
      </c>
      <c r="F12" s="155">
        <f>'PANN - 6-Year'!D40</f>
        <v>1</v>
      </c>
      <c r="G12" s="155">
        <f>'PANN - 6-Year'!E40</f>
        <v>1</v>
      </c>
      <c r="H12" s="155">
        <f>'PANN - 6-Year'!F40</f>
        <v>1</v>
      </c>
      <c r="I12" s="155">
        <f>'PANN - 6-Year'!G40</f>
        <v>1</v>
      </c>
      <c r="J12" s="146"/>
    </row>
    <row r="13" spans="1:10" ht="15" x14ac:dyDescent="0.25">
      <c r="A13" s="146"/>
      <c r="B13" s="153" t="s">
        <v>99</v>
      </c>
      <c r="C13" s="154" t="s">
        <v>248</v>
      </c>
      <c r="D13" s="155">
        <f>'PANN - 6-Year'!B41</f>
        <v>1</v>
      </c>
      <c r="E13" s="155">
        <f>'PANN - 6-Year'!C41</f>
        <v>1</v>
      </c>
      <c r="F13" s="155">
        <f>'PANN - 6-Year'!D41</f>
        <v>2</v>
      </c>
      <c r="G13" s="155">
        <f>'PANN - 6-Year'!E41</f>
        <v>2</v>
      </c>
      <c r="H13" s="155">
        <f>'PANN - 6-Year'!F41</f>
        <v>2</v>
      </c>
      <c r="I13" s="155">
        <f>'PANN - 6-Year'!G41</f>
        <v>2</v>
      </c>
      <c r="J13" s="146"/>
    </row>
    <row r="14" spans="1:10" ht="15" x14ac:dyDescent="0.25">
      <c r="A14" s="146"/>
      <c r="B14" s="153" t="s">
        <v>235</v>
      </c>
      <c r="C14" s="154" t="s">
        <v>234</v>
      </c>
      <c r="D14" s="155">
        <f>'PANN - 6-Year'!B43</f>
        <v>0</v>
      </c>
      <c r="E14" s="155">
        <f>'PANN - 6-Year'!C43</f>
        <v>1</v>
      </c>
      <c r="F14" s="155">
        <f>'PANN - 6-Year'!D43</f>
        <v>1</v>
      </c>
      <c r="G14" s="155">
        <f>'PANN - 6-Year'!E43</f>
        <v>1</v>
      </c>
      <c r="H14" s="155">
        <f>'PANN - 6-Year'!F43</f>
        <v>1</v>
      </c>
      <c r="I14" s="155">
        <f>'PANN - 6-Year'!G43</f>
        <v>1</v>
      </c>
      <c r="J14" s="146"/>
    </row>
    <row r="15" spans="1:10" ht="15" x14ac:dyDescent="0.25">
      <c r="A15" s="146"/>
      <c r="B15" s="153" t="s">
        <v>67</v>
      </c>
      <c r="C15" s="154" t="s">
        <v>244</v>
      </c>
      <c r="D15" s="155">
        <f>'PANN - 6-Year'!B44</f>
        <v>0</v>
      </c>
      <c r="E15" s="155">
        <f>'PANN - 6-Year'!C44</f>
        <v>1</v>
      </c>
      <c r="F15" s="155">
        <f>'PANN - 6-Year'!D44</f>
        <v>1</v>
      </c>
      <c r="G15" s="155">
        <f>'PANN - 6-Year'!E44</f>
        <v>1</v>
      </c>
      <c r="H15" s="155">
        <f>'PANN - 6-Year'!F44</f>
        <v>1</v>
      </c>
      <c r="I15" s="155">
        <f>'PANN - 6-Year'!G44</f>
        <v>1</v>
      </c>
      <c r="J15" s="146"/>
    </row>
    <row r="16" spans="1:10" ht="15" x14ac:dyDescent="0.25">
      <c r="A16" s="146"/>
      <c r="B16" s="153" t="s">
        <v>157</v>
      </c>
      <c r="C16" s="154" t="s">
        <v>245</v>
      </c>
      <c r="D16" s="155">
        <f>'PANN - 6-Year'!B26</f>
        <v>26</v>
      </c>
      <c r="E16" s="155">
        <f>'PANN - 6-Year'!C26</f>
        <v>30</v>
      </c>
      <c r="F16" s="155">
        <f>'PANN - 6-Year'!D26</f>
        <v>33</v>
      </c>
      <c r="G16" s="155">
        <f>'PANN - 6-Year'!E26</f>
        <v>35</v>
      </c>
      <c r="H16" s="155">
        <f>'PANN - 6-Year'!F26</f>
        <v>36</v>
      </c>
      <c r="I16" s="155">
        <f>'PANN - 6-Year'!G26</f>
        <v>36</v>
      </c>
      <c r="J16" s="146"/>
    </row>
    <row r="17" spans="1:18" ht="15" x14ac:dyDescent="0.25">
      <c r="A17" s="146"/>
      <c r="B17" s="153" t="s">
        <v>151</v>
      </c>
      <c r="C17" s="154" t="s">
        <v>245</v>
      </c>
      <c r="D17" s="155">
        <f>SUM('PANN - 6-Year'!B28:B35)</f>
        <v>4.5</v>
      </c>
      <c r="E17" s="155">
        <f>SUM('PANN - 6-Year'!C28:C35)</f>
        <v>5</v>
      </c>
      <c r="F17" s="155">
        <f>SUM('PANN - 6-Year'!D28:D35)</f>
        <v>6</v>
      </c>
      <c r="G17" s="155">
        <f>SUM('PANN - 6-Year'!E28:E35)</f>
        <v>6</v>
      </c>
      <c r="H17" s="155">
        <f>SUM('PANN - 6-Year'!F28:F35)</f>
        <v>6</v>
      </c>
      <c r="I17" s="155">
        <f>SUM('PANN - 6-Year'!G28:G35)</f>
        <v>7</v>
      </c>
      <c r="J17" s="146"/>
    </row>
    <row r="18" spans="1:18" ht="15" x14ac:dyDescent="0.25">
      <c r="A18" s="146"/>
      <c r="B18" s="153" t="s">
        <v>64</v>
      </c>
      <c r="C18" s="154" t="s">
        <v>245</v>
      </c>
      <c r="D18" s="155">
        <f>'PANN - 6-Year'!B27</f>
        <v>3</v>
      </c>
      <c r="E18" s="155">
        <f>'PANN - 6-Year'!C27</f>
        <v>4</v>
      </c>
      <c r="F18" s="155">
        <f>'PANN - 6-Year'!D27</f>
        <v>4</v>
      </c>
      <c r="G18" s="155">
        <f>'PANN - 6-Year'!E27</f>
        <v>4</v>
      </c>
      <c r="H18" s="155">
        <f>'PANN - 6-Year'!F27</f>
        <v>4</v>
      </c>
      <c r="I18" s="155">
        <f>'PANN - 6-Year'!G27</f>
        <v>4</v>
      </c>
      <c r="J18" s="146"/>
    </row>
    <row r="19" spans="1:18" ht="15" x14ac:dyDescent="0.25">
      <c r="A19" s="146"/>
      <c r="B19" s="153" t="s">
        <v>96</v>
      </c>
      <c r="C19" s="154" t="s">
        <v>246</v>
      </c>
      <c r="D19" s="155">
        <f>'PANN - 6-Year'!B45</f>
        <v>1</v>
      </c>
      <c r="E19" s="155">
        <f>'PANN - 6-Year'!C45</f>
        <v>1</v>
      </c>
      <c r="F19" s="155">
        <f>'PANN - 6-Year'!D45</f>
        <v>1</v>
      </c>
      <c r="G19" s="155">
        <f>'PANN - 6-Year'!E45</f>
        <v>1</v>
      </c>
      <c r="H19" s="155">
        <f>'PANN - 6-Year'!F45</f>
        <v>1</v>
      </c>
      <c r="I19" s="155">
        <f>'PANN - 6-Year'!G45</f>
        <v>1</v>
      </c>
      <c r="J19" s="146"/>
    </row>
    <row r="20" spans="1:18" ht="15" x14ac:dyDescent="0.25">
      <c r="A20" s="146"/>
      <c r="B20" s="153" t="s">
        <v>95</v>
      </c>
      <c r="C20" s="154" t="s">
        <v>233</v>
      </c>
      <c r="D20" s="155">
        <f>'PANN - 6-Year'!B46</f>
        <v>1</v>
      </c>
      <c r="E20" s="155">
        <f>'PANN - 6-Year'!C46</f>
        <v>1</v>
      </c>
      <c r="F20" s="155">
        <f>'PANN - 6-Year'!D46</f>
        <v>1</v>
      </c>
      <c r="G20" s="155">
        <f>'PANN - 6-Year'!E46</f>
        <v>1</v>
      </c>
      <c r="H20" s="155">
        <f>'PANN - 6-Year'!F46</f>
        <v>1</v>
      </c>
      <c r="I20" s="155">
        <f>'PANN - 6-Year'!G46</f>
        <v>1</v>
      </c>
      <c r="J20" s="146"/>
    </row>
    <row r="21" spans="1:18" ht="15" x14ac:dyDescent="0.25">
      <c r="A21" s="146"/>
      <c r="B21" s="153" t="s">
        <v>54</v>
      </c>
      <c r="C21" s="154" t="s">
        <v>233</v>
      </c>
      <c r="D21" s="155">
        <f>'PANN - 6-Year'!B55</f>
        <v>0</v>
      </c>
      <c r="E21" s="155">
        <f>'PANN - 6-Year'!C55</f>
        <v>0</v>
      </c>
      <c r="F21" s="155">
        <f>'PANN - 6-Year'!D55</f>
        <v>0</v>
      </c>
      <c r="G21" s="155">
        <f>'PANN - 6-Year'!E55</f>
        <v>1</v>
      </c>
      <c r="H21" s="155">
        <f>'PANN - 6-Year'!F55</f>
        <v>1</v>
      </c>
      <c r="I21" s="155">
        <f>'PANN - 6-Year'!G55</f>
        <v>1</v>
      </c>
      <c r="J21" s="146"/>
    </row>
    <row r="22" spans="1:18" ht="15" x14ac:dyDescent="0.25">
      <c r="A22" s="146"/>
      <c r="B22" s="153" t="s">
        <v>232</v>
      </c>
      <c r="C22" s="156" t="s">
        <v>249</v>
      </c>
      <c r="D22" s="155">
        <f>'PANN - 6-Year'!B49</f>
        <v>6</v>
      </c>
      <c r="E22" s="155">
        <f>'PANN - 6-Year'!C49</f>
        <v>7</v>
      </c>
      <c r="F22" s="155">
        <f>'PANN - 6-Year'!D49</f>
        <v>7</v>
      </c>
      <c r="G22" s="155">
        <f>'PANN - 6-Year'!E49</f>
        <v>8</v>
      </c>
      <c r="H22" s="155">
        <f>'PANN - 6-Year'!F49</f>
        <v>9</v>
      </c>
      <c r="I22" s="155">
        <f>'PANN - 6-Year'!G49</f>
        <v>10</v>
      </c>
      <c r="J22" s="146"/>
    </row>
    <row r="23" spans="1:18" ht="15" x14ac:dyDescent="0.25">
      <c r="A23" s="146"/>
      <c r="B23" s="153" t="s">
        <v>231</v>
      </c>
      <c r="C23" s="156" t="s">
        <v>250</v>
      </c>
      <c r="D23" s="155">
        <f>'PANN - 6-Year'!B47+'PANN - 6-Year'!B48+'PANN - 6-Year'!B50</f>
        <v>4</v>
      </c>
      <c r="E23" s="155">
        <f>'PANN - 6-Year'!C47+'PANN - 6-Year'!C48+'PANN - 6-Year'!C50</f>
        <v>4</v>
      </c>
      <c r="F23" s="155">
        <f>'PANN - 6-Year'!D47+'PANN - 6-Year'!D48+'PANN - 6-Year'!D50</f>
        <v>4</v>
      </c>
      <c r="G23" s="155">
        <f>'PANN - 6-Year'!E47+'PANN - 6-Year'!E48+'PANN - 6-Year'!E50</f>
        <v>4</v>
      </c>
      <c r="H23" s="155">
        <f>'PANN - 6-Year'!F47+'PANN - 6-Year'!F48+'PANN - 6-Year'!F50</f>
        <v>4</v>
      </c>
      <c r="I23" s="155">
        <f>'PANN - 6-Year'!G47+'PANN - 6-Year'!G48+'PANN - 6-Year'!G50</f>
        <v>4</v>
      </c>
      <c r="J23" s="146"/>
    </row>
    <row r="24" spans="1:18" ht="15" x14ac:dyDescent="0.25">
      <c r="A24" s="146"/>
      <c r="B24" s="157"/>
      <c r="C24" s="158" t="s">
        <v>230</v>
      </c>
      <c r="D24" s="159">
        <f>'PANN - 6-Year'!B107</f>
        <v>1963100</v>
      </c>
      <c r="E24" s="159">
        <f>'PANN - 6-Year'!C107</f>
        <v>2373595</v>
      </c>
      <c r="F24" s="159">
        <f>'PANN - 6-Year'!D107</f>
        <v>2674859.6999999997</v>
      </c>
      <c r="G24" s="159">
        <f>'PANN - 6-Year'!E107</f>
        <v>2878460.6020000004</v>
      </c>
      <c r="H24" s="159">
        <f>'PANN - 6-Year'!F107</f>
        <v>3001668.8480400001</v>
      </c>
      <c r="I24" s="159">
        <f>'PANN - 6-Year'!G107</f>
        <v>3128512.0214008</v>
      </c>
      <c r="J24" s="146"/>
    </row>
    <row r="25" spans="1:18" ht="15" x14ac:dyDescent="0.25">
      <c r="A25" s="146"/>
      <c r="B25" s="157"/>
      <c r="C25" s="160"/>
      <c r="D25" s="161"/>
      <c r="E25" s="161"/>
      <c r="F25" s="161"/>
      <c r="G25" s="161"/>
      <c r="H25" s="161"/>
      <c r="I25" s="161"/>
      <c r="J25" s="146"/>
      <c r="K25" s="162">
        <f>SUM(D12:D23)</f>
        <v>47.5</v>
      </c>
      <c r="L25" s="162">
        <f t="shared" ref="L25:R25" si="0">SUM(E12:E23)</f>
        <v>56</v>
      </c>
      <c r="M25" s="162">
        <f t="shared" si="0"/>
        <v>61</v>
      </c>
      <c r="N25" s="162">
        <f t="shared" si="0"/>
        <v>65</v>
      </c>
      <c r="O25" s="162">
        <f t="shared" si="0"/>
        <v>67</v>
      </c>
      <c r="P25" s="162">
        <f t="shared" si="0"/>
        <v>69</v>
      </c>
      <c r="Q25" s="162">
        <f t="shared" si="0"/>
        <v>0</v>
      </c>
      <c r="R25" s="162">
        <f t="shared" si="0"/>
        <v>0</v>
      </c>
    </row>
    <row r="26" spans="1:18" ht="15" x14ac:dyDescent="0.25">
      <c r="A26" s="146"/>
      <c r="B26" s="163" t="s">
        <v>229</v>
      </c>
      <c r="C26" s="146"/>
      <c r="J26" s="146"/>
    </row>
    <row r="27" spans="1:18" ht="15" x14ac:dyDescent="0.25">
      <c r="A27" s="146"/>
      <c r="B27" s="163" t="s">
        <v>228</v>
      </c>
      <c r="C27" s="146"/>
      <c r="D27" s="146"/>
      <c r="E27" s="146"/>
      <c r="F27" s="146"/>
      <c r="G27" s="146"/>
      <c r="H27" s="146"/>
      <c r="I27" s="146"/>
      <c r="J27" s="146"/>
    </row>
    <row r="28" spans="1:18" ht="15" x14ac:dyDescent="0.25">
      <c r="A28" s="146"/>
      <c r="B28" s="163"/>
      <c r="C28" s="146"/>
      <c r="J28" s="146"/>
    </row>
    <row r="29" spans="1:18" ht="15" x14ac:dyDescent="0.25">
      <c r="A29" s="146"/>
      <c r="B29" s="163"/>
      <c r="C29" s="146"/>
      <c r="D29" s="164" t="b">
        <f>SUM(D12:D23)='PANN - 6-Year'!B62</f>
        <v>0</v>
      </c>
      <c r="E29" s="164" t="b">
        <f>SUM(E12:E23)='PANN - 6-Year'!C62</f>
        <v>0</v>
      </c>
      <c r="F29" s="164" t="b">
        <f>SUM(F12:F23)='PANN - 6-Year'!D62</f>
        <v>0</v>
      </c>
      <c r="G29" s="164" t="b">
        <f>SUM(G12:G23)='PANN - 6-Year'!E62</f>
        <v>0</v>
      </c>
      <c r="H29" s="164" t="b">
        <f>SUM(H12:H23)='PANN - 6-Year'!F62</f>
        <v>0</v>
      </c>
      <c r="I29" s="164" t="b">
        <f>SUM(I12:I23)='PANN - 6-Year'!G62</f>
        <v>0</v>
      </c>
      <c r="J29" s="146"/>
    </row>
    <row r="30" spans="1:18" ht="15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65" t="s">
        <v>227</v>
      </c>
      <c r="L30" s="165" t="s">
        <v>145</v>
      </c>
      <c r="M30" s="165" t="s">
        <v>146</v>
      </c>
      <c r="N30" s="165" t="s">
        <v>147</v>
      </c>
      <c r="O30" s="165" t="s">
        <v>148</v>
      </c>
      <c r="P30" s="165" t="s">
        <v>149</v>
      </c>
    </row>
    <row r="31" spans="1:18" x14ac:dyDescent="0.25">
      <c r="K31" s="166" t="s">
        <v>226</v>
      </c>
      <c r="L31" s="167">
        <v>1</v>
      </c>
      <c r="M31" s="167">
        <v>1</v>
      </c>
      <c r="N31" s="167">
        <v>1</v>
      </c>
      <c r="O31" s="167">
        <v>1</v>
      </c>
      <c r="P31" s="167">
        <v>1</v>
      </c>
    </row>
    <row r="32" spans="1:18" ht="15" x14ac:dyDescent="0.25">
      <c r="C32" s="146"/>
      <c r="D32" s="148" t="s">
        <v>145</v>
      </c>
      <c r="E32" s="148" t="s">
        <v>146</v>
      </c>
      <c r="F32" s="148" t="s">
        <v>147</v>
      </c>
      <c r="G32" s="148" t="s">
        <v>148</v>
      </c>
      <c r="H32" s="148" t="s">
        <v>149</v>
      </c>
      <c r="I32" s="148" t="s">
        <v>150</v>
      </c>
      <c r="K32" s="166" t="s">
        <v>225</v>
      </c>
      <c r="L32" s="167">
        <v>1</v>
      </c>
      <c r="M32" s="167">
        <v>1</v>
      </c>
      <c r="N32" s="167">
        <v>1</v>
      </c>
      <c r="O32" s="167">
        <v>1</v>
      </c>
      <c r="P32" s="167">
        <v>1</v>
      </c>
    </row>
    <row r="33" spans="2:16" ht="15" x14ac:dyDescent="0.25">
      <c r="C33" s="168" t="s">
        <v>224</v>
      </c>
      <c r="D33" s="169">
        <f>D24</f>
        <v>1963100</v>
      </c>
      <c r="E33" s="169">
        <f t="shared" ref="E33:I33" si="1">E24</f>
        <v>2373595</v>
      </c>
      <c r="F33" s="169">
        <f t="shared" si="1"/>
        <v>2674859.6999999997</v>
      </c>
      <c r="G33" s="169">
        <f t="shared" si="1"/>
        <v>2878460.6020000004</v>
      </c>
      <c r="H33" s="169">
        <f t="shared" si="1"/>
        <v>3001668.8480400001</v>
      </c>
      <c r="I33" s="169">
        <f t="shared" si="1"/>
        <v>3128512.0214008</v>
      </c>
      <c r="K33" s="166" t="s">
        <v>223</v>
      </c>
      <c r="L33" s="167">
        <v>1</v>
      </c>
      <c r="M33" s="167">
        <v>1</v>
      </c>
      <c r="N33" s="167">
        <v>1</v>
      </c>
      <c r="O33" s="167">
        <v>1</v>
      </c>
      <c r="P33" s="167">
        <v>1</v>
      </c>
    </row>
    <row r="34" spans="2:16" ht="15" x14ac:dyDescent="0.25">
      <c r="C34" s="168" t="s">
        <v>156</v>
      </c>
      <c r="D34" s="170">
        <v>0.46750000000000003</v>
      </c>
      <c r="E34" s="170">
        <f>D34+0.5%</f>
        <v>0.47250000000000003</v>
      </c>
      <c r="F34" s="170">
        <f t="shared" ref="F34:I34" si="2">E34+0.5%</f>
        <v>0.47750000000000004</v>
      </c>
      <c r="G34" s="170">
        <f t="shared" si="2"/>
        <v>0.48250000000000004</v>
      </c>
      <c r="H34" s="170">
        <f t="shared" si="2"/>
        <v>0.48750000000000004</v>
      </c>
      <c r="I34" s="170">
        <f t="shared" si="2"/>
        <v>0.49250000000000005</v>
      </c>
      <c r="K34" s="166" t="s">
        <v>222</v>
      </c>
      <c r="L34" s="167">
        <v>1</v>
      </c>
      <c r="M34" s="167">
        <v>1</v>
      </c>
      <c r="N34" s="167">
        <v>1</v>
      </c>
      <c r="O34" s="167">
        <v>1</v>
      </c>
      <c r="P34" s="167">
        <v>1</v>
      </c>
    </row>
    <row r="35" spans="2:16" ht="15" x14ac:dyDescent="0.25">
      <c r="C35" s="149" t="s">
        <v>155</v>
      </c>
      <c r="D35" s="159">
        <f t="shared" ref="D35" si="3">(D33*D34)</f>
        <v>917749.25</v>
      </c>
      <c r="E35" s="159">
        <f t="shared" ref="E35" si="4">(E33*E34)</f>
        <v>1121523.6375000002</v>
      </c>
      <c r="F35" s="159">
        <f t="shared" ref="F35" si="5">(F33*F34)</f>
        <v>1277245.5067499999</v>
      </c>
      <c r="G35" s="159">
        <f t="shared" ref="G35" si="6">(G33*G34)</f>
        <v>1388857.2404650003</v>
      </c>
      <c r="H35" s="159">
        <f t="shared" ref="H35" si="7">(H33*H34)</f>
        <v>1463313.5634195001</v>
      </c>
      <c r="I35" s="159">
        <f t="shared" ref="I35" si="8">(I33*I34)</f>
        <v>1540792.1705398941</v>
      </c>
      <c r="K35" s="166" t="s">
        <v>221</v>
      </c>
      <c r="L35" s="167">
        <v>2</v>
      </c>
      <c r="M35" s="167">
        <v>2</v>
      </c>
      <c r="N35" s="167">
        <v>2</v>
      </c>
      <c r="O35" s="167">
        <v>2</v>
      </c>
      <c r="P35" s="167">
        <v>2</v>
      </c>
    </row>
    <row r="36" spans="2:16" x14ac:dyDescent="0.25">
      <c r="K36" s="166" t="s">
        <v>220</v>
      </c>
      <c r="L36" s="167">
        <v>2</v>
      </c>
      <c r="M36" s="167">
        <v>2</v>
      </c>
      <c r="N36" s="167">
        <v>2</v>
      </c>
      <c r="O36" s="167">
        <v>2</v>
      </c>
      <c r="P36" s="167">
        <v>2</v>
      </c>
    </row>
    <row r="37" spans="2:16" x14ac:dyDescent="0.25">
      <c r="D37" s="147" t="b">
        <f>D35=SUM('PANN - 6-Year'!B108:B109)</f>
        <v>1</v>
      </c>
      <c r="E37" s="147" t="b">
        <f>E35=SUM('PANN - 6-Year'!C108:C109)</f>
        <v>1</v>
      </c>
      <c r="F37" s="147" t="b">
        <f>F35=SUM('PANN - 6-Year'!D108:D109)</f>
        <v>1</v>
      </c>
      <c r="G37" s="147" t="b">
        <f>G35=SUM('PANN - 6-Year'!E108:E109)</f>
        <v>1</v>
      </c>
      <c r="H37" s="147" t="b">
        <f>H35=SUM('PANN - 6-Year'!F108:F109)</f>
        <v>1</v>
      </c>
      <c r="I37" s="147" t="b">
        <f>I35=SUM('PANN - 6-Year'!G108:G109)</f>
        <v>1</v>
      </c>
      <c r="K37" s="166" t="s">
        <v>219</v>
      </c>
      <c r="L37" s="167">
        <v>1</v>
      </c>
      <c r="M37" s="167">
        <v>1</v>
      </c>
      <c r="N37" s="167">
        <v>1</v>
      </c>
      <c r="O37" s="167">
        <v>1</v>
      </c>
      <c r="P37" s="167">
        <v>1</v>
      </c>
    </row>
    <row r="38" spans="2:16" x14ac:dyDescent="0.25">
      <c r="K38" s="171" t="s">
        <v>218</v>
      </c>
      <c r="L38" s="165">
        <f>SUM(L31:L37)</f>
        <v>9</v>
      </c>
      <c r="M38" s="165">
        <f>SUM(M31:M37)</f>
        <v>9</v>
      </c>
      <c r="N38" s="165">
        <f>SUM(N31:N37)</f>
        <v>9</v>
      </c>
      <c r="O38" s="165">
        <f>SUM(O31:O37)</f>
        <v>9</v>
      </c>
      <c r="P38" s="165">
        <f>SUM(P31:P37)</f>
        <v>9</v>
      </c>
    </row>
    <row r="39" spans="2:16" x14ac:dyDescent="0.25">
      <c r="D39" s="172"/>
      <c r="E39" s="172"/>
      <c r="F39" s="172"/>
      <c r="G39" s="172"/>
      <c r="H39" s="172"/>
      <c r="I39" s="172"/>
    </row>
    <row r="41" spans="2:16" x14ac:dyDescent="0.25">
      <c r="B41" s="173" t="s">
        <v>240</v>
      </c>
      <c r="D41" s="172"/>
      <c r="E41" s="172"/>
      <c r="F41" s="172"/>
      <c r="G41" s="172"/>
      <c r="H41" s="172"/>
      <c r="I41" s="172"/>
    </row>
    <row r="42" spans="2:16" x14ac:dyDescent="0.25">
      <c r="C42" s="196" t="s">
        <v>217</v>
      </c>
      <c r="D42" s="197" t="s">
        <v>216</v>
      </c>
      <c r="E42" s="197"/>
      <c r="F42" s="197"/>
      <c r="G42" s="197"/>
      <c r="H42" s="197"/>
      <c r="I42" s="197"/>
    </row>
    <row r="43" spans="2:16" x14ac:dyDescent="0.25">
      <c r="C43" s="196"/>
      <c r="D43" s="165" t="s">
        <v>215</v>
      </c>
      <c r="E43" s="165" t="s">
        <v>214</v>
      </c>
      <c r="F43" s="165" t="s">
        <v>213</v>
      </c>
      <c r="G43" s="165" t="s">
        <v>212</v>
      </c>
      <c r="H43" s="165" t="s">
        <v>211</v>
      </c>
      <c r="I43" s="165" t="s">
        <v>210</v>
      </c>
    </row>
    <row r="44" spans="2:16" x14ac:dyDescent="0.25">
      <c r="C44" s="167" t="s">
        <v>208</v>
      </c>
      <c r="D44" s="167">
        <f>ROUND(D64*0.95,0)</f>
        <v>95</v>
      </c>
      <c r="E44" s="167">
        <f t="shared" ref="E44:I44" si="9">ROUND(E64*0.95,0)</f>
        <v>95</v>
      </c>
      <c r="F44" s="167">
        <f t="shared" si="9"/>
        <v>95</v>
      </c>
      <c r="G44" s="167">
        <f t="shared" si="9"/>
        <v>95</v>
      </c>
      <c r="H44" s="167">
        <f t="shared" si="9"/>
        <v>95</v>
      </c>
      <c r="I44" s="167">
        <f t="shared" si="9"/>
        <v>95</v>
      </c>
    </row>
    <row r="45" spans="2:16" x14ac:dyDescent="0.25">
      <c r="C45" s="167">
        <v>1</v>
      </c>
      <c r="D45" s="167">
        <f t="shared" ref="D45:I52" si="10">ROUND(D65*0.95,0)</f>
        <v>95</v>
      </c>
      <c r="E45" s="167">
        <f t="shared" si="10"/>
        <v>95</v>
      </c>
      <c r="F45" s="167">
        <f t="shared" si="10"/>
        <v>95</v>
      </c>
      <c r="G45" s="167">
        <f t="shared" si="10"/>
        <v>95</v>
      </c>
      <c r="H45" s="167">
        <f t="shared" si="10"/>
        <v>95</v>
      </c>
      <c r="I45" s="167">
        <f t="shared" si="10"/>
        <v>95</v>
      </c>
    </row>
    <row r="46" spans="2:16" x14ac:dyDescent="0.25">
      <c r="C46" s="167">
        <v>2</v>
      </c>
      <c r="D46" s="167">
        <f t="shared" si="10"/>
        <v>99</v>
      </c>
      <c r="E46" s="167">
        <f t="shared" si="10"/>
        <v>99</v>
      </c>
      <c r="F46" s="167">
        <f t="shared" si="10"/>
        <v>99</v>
      </c>
      <c r="G46" s="167">
        <f t="shared" si="10"/>
        <v>99</v>
      </c>
      <c r="H46" s="167">
        <f t="shared" si="10"/>
        <v>99</v>
      </c>
      <c r="I46" s="167">
        <f t="shared" si="10"/>
        <v>99</v>
      </c>
    </row>
    <row r="47" spans="2:16" x14ac:dyDescent="0.25">
      <c r="C47" s="167">
        <v>3</v>
      </c>
      <c r="D47" s="167">
        <f t="shared" si="10"/>
        <v>99</v>
      </c>
      <c r="E47" s="167">
        <f t="shared" si="10"/>
        <v>99</v>
      </c>
      <c r="F47" s="167">
        <f t="shared" si="10"/>
        <v>99</v>
      </c>
      <c r="G47" s="167">
        <f t="shared" si="10"/>
        <v>99</v>
      </c>
      <c r="H47" s="167">
        <f t="shared" si="10"/>
        <v>99</v>
      </c>
      <c r="I47" s="167">
        <f t="shared" si="10"/>
        <v>99</v>
      </c>
    </row>
    <row r="48" spans="2:16" x14ac:dyDescent="0.25">
      <c r="C48" s="167">
        <v>4</v>
      </c>
      <c r="D48" s="167">
        <f t="shared" si="10"/>
        <v>74</v>
      </c>
      <c r="E48" s="167">
        <f t="shared" si="10"/>
        <v>99</v>
      </c>
      <c r="F48" s="167">
        <f t="shared" si="10"/>
        <v>99</v>
      </c>
      <c r="G48" s="167">
        <f t="shared" si="10"/>
        <v>99</v>
      </c>
      <c r="H48" s="167">
        <f t="shared" si="10"/>
        <v>99</v>
      </c>
      <c r="I48" s="167">
        <f t="shared" si="10"/>
        <v>99</v>
      </c>
    </row>
    <row r="49" spans="2:9" x14ac:dyDescent="0.25">
      <c r="C49" s="167">
        <v>5</v>
      </c>
      <c r="D49" s="167">
        <f t="shared" si="10"/>
        <v>74</v>
      </c>
      <c r="E49" s="167">
        <f t="shared" si="10"/>
        <v>74</v>
      </c>
      <c r="F49" s="167">
        <f t="shared" si="10"/>
        <v>99</v>
      </c>
      <c r="G49" s="167">
        <f t="shared" si="10"/>
        <v>99</v>
      </c>
      <c r="H49" s="167">
        <f t="shared" si="10"/>
        <v>99</v>
      </c>
      <c r="I49" s="167">
        <f t="shared" si="10"/>
        <v>99</v>
      </c>
    </row>
    <row r="50" spans="2:9" x14ac:dyDescent="0.25">
      <c r="C50" s="167">
        <v>6</v>
      </c>
      <c r="D50" s="167">
        <f t="shared" si="10"/>
        <v>59</v>
      </c>
      <c r="E50" s="167">
        <f t="shared" si="10"/>
        <v>88</v>
      </c>
      <c r="F50" s="167">
        <f t="shared" si="10"/>
        <v>118</v>
      </c>
      <c r="G50" s="167">
        <f t="shared" si="10"/>
        <v>118</v>
      </c>
      <c r="H50" s="167">
        <f t="shared" si="10"/>
        <v>118</v>
      </c>
      <c r="I50" s="167">
        <f t="shared" si="10"/>
        <v>118</v>
      </c>
    </row>
    <row r="51" spans="2:9" x14ac:dyDescent="0.25">
      <c r="C51" s="167">
        <v>7</v>
      </c>
      <c r="D51" s="167">
        <f t="shared" si="10"/>
        <v>59</v>
      </c>
      <c r="E51" s="167">
        <f t="shared" si="10"/>
        <v>59</v>
      </c>
      <c r="F51" s="167">
        <f t="shared" si="10"/>
        <v>88</v>
      </c>
      <c r="G51" s="167">
        <f t="shared" si="10"/>
        <v>118</v>
      </c>
      <c r="H51" s="167">
        <f t="shared" si="10"/>
        <v>118</v>
      </c>
      <c r="I51" s="167">
        <f t="shared" si="10"/>
        <v>118</v>
      </c>
    </row>
    <row r="52" spans="2:9" x14ac:dyDescent="0.25">
      <c r="C52" s="167">
        <v>8</v>
      </c>
      <c r="D52" s="174" t="s">
        <v>209</v>
      </c>
      <c r="E52" s="167">
        <f t="shared" si="10"/>
        <v>59</v>
      </c>
      <c r="F52" s="167">
        <f t="shared" si="10"/>
        <v>59</v>
      </c>
      <c r="G52" s="167">
        <f t="shared" si="10"/>
        <v>88</v>
      </c>
      <c r="H52" s="167">
        <f t="shared" si="10"/>
        <v>118</v>
      </c>
      <c r="I52" s="167">
        <f t="shared" si="10"/>
        <v>118</v>
      </c>
    </row>
    <row r="53" spans="2:9" x14ac:dyDescent="0.25">
      <c r="C53" s="167">
        <v>9</v>
      </c>
      <c r="D53" s="174"/>
      <c r="E53" s="174"/>
      <c r="F53" s="174"/>
      <c r="G53" s="174"/>
      <c r="H53" s="174"/>
      <c r="I53" s="174"/>
    </row>
    <row r="54" spans="2:9" x14ac:dyDescent="0.25">
      <c r="C54" s="167">
        <v>10</v>
      </c>
      <c r="D54" s="174"/>
      <c r="E54" s="174"/>
      <c r="F54" s="174"/>
      <c r="G54" s="174"/>
      <c r="H54" s="174"/>
      <c r="I54" s="174"/>
    </row>
    <row r="55" spans="2:9" x14ac:dyDescent="0.25">
      <c r="C55" s="167">
        <v>11</v>
      </c>
      <c r="D55" s="174"/>
      <c r="E55" s="174"/>
      <c r="F55" s="174"/>
      <c r="G55" s="174"/>
      <c r="H55" s="174"/>
      <c r="I55" s="174"/>
    </row>
    <row r="56" spans="2:9" x14ac:dyDescent="0.25">
      <c r="C56" s="167">
        <v>12</v>
      </c>
      <c r="D56" s="174"/>
      <c r="E56" s="174"/>
      <c r="F56" s="174"/>
      <c r="G56" s="174"/>
      <c r="H56" s="174"/>
      <c r="I56" s="174"/>
    </row>
    <row r="57" spans="2:9" x14ac:dyDescent="0.25">
      <c r="C57" s="171" t="s">
        <v>207</v>
      </c>
      <c r="D57" s="165">
        <f t="shared" ref="D57:I57" si="11">SUM(D44:D56)</f>
        <v>654</v>
      </c>
      <c r="E57" s="165">
        <f t="shared" si="11"/>
        <v>767</v>
      </c>
      <c r="F57" s="165">
        <f t="shared" si="11"/>
        <v>851</v>
      </c>
      <c r="G57" s="165">
        <f t="shared" si="11"/>
        <v>910</v>
      </c>
      <c r="H57" s="175">
        <f t="shared" si="11"/>
        <v>940</v>
      </c>
      <c r="I57" s="175">
        <f t="shared" si="11"/>
        <v>940</v>
      </c>
    </row>
    <row r="58" spans="2:9" x14ac:dyDescent="0.25">
      <c r="D58" s="172"/>
      <c r="E58" s="172"/>
      <c r="F58" s="172"/>
      <c r="G58" s="172"/>
      <c r="H58" s="172"/>
      <c r="I58" s="172"/>
    </row>
    <row r="59" spans="2:9" x14ac:dyDescent="0.25">
      <c r="D59" s="176">
        <f>D57/D77</f>
        <v>0.95058139534883723</v>
      </c>
      <c r="E59" s="176">
        <f t="shared" ref="E59:I59" si="12">E57/E77</f>
        <v>0.95043370508054525</v>
      </c>
      <c r="F59" s="176">
        <f t="shared" si="12"/>
        <v>0.95083798882681569</v>
      </c>
      <c r="G59" s="176">
        <f t="shared" si="12"/>
        <v>0.95088819226750265</v>
      </c>
      <c r="H59" s="176">
        <f t="shared" si="12"/>
        <v>0.95141700404858298</v>
      </c>
      <c r="I59" s="176">
        <f t="shared" si="12"/>
        <v>0.95141700404858298</v>
      </c>
    </row>
    <row r="60" spans="2:9" x14ac:dyDescent="0.25">
      <c r="D60" s="172"/>
      <c r="E60" s="172"/>
      <c r="F60" s="172"/>
      <c r="G60" s="172"/>
      <c r="H60" s="172"/>
      <c r="I60" s="172"/>
    </row>
    <row r="61" spans="2:9" x14ac:dyDescent="0.25">
      <c r="B61" s="173" t="s">
        <v>241</v>
      </c>
      <c r="D61" s="172"/>
      <c r="E61" s="172"/>
      <c r="F61" s="172"/>
      <c r="G61" s="172"/>
      <c r="H61" s="172"/>
      <c r="I61" s="172"/>
    </row>
    <row r="62" spans="2:9" x14ac:dyDescent="0.25">
      <c r="C62" s="196" t="s">
        <v>217</v>
      </c>
      <c r="D62" s="197" t="s">
        <v>216</v>
      </c>
      <c r="E62" s="197"/>
      <c r="F62" s="197"/>
      <c r="G62" s="197"/>
      <c r="H62" s="197"/>
      <c r="I62" s="197"/>
    </row>
    <row r="63" spans="2:9" x14ac:dyDescent="0.25">
      <c r="C63" s="196"/>
      <c r="D63" s="165" t="s">
        <v>215</v>
      </c>
      <c r="E63" s="165" t="s">
        <v>214</v>
      </c>
      <c r="F63" s="165" t="s">
        <v>213</v>
      </c>
      <c r="G63" s="165" t="s">
        <v>212</v>
      </c>
      <c r="H63" s="165" t="s">
        <v>211</v>
      </c>
      <c r="I63" s="165" t="s">
        <v>210</v>
      </c>
    </row>
    <row r="64" spans="2:9" x14ac:dyDescent="0.25">
      <c r="C64" s="167" t="s">
        <v>208</v>
      </c>
      <c r="D64" s="167">
        <f>'PANN - 6-Year'!B4</f>
        <v>100</v>
      </c>
      <c r="E64" s="167">
        <f>'PANN - 6-Year'!C4</f>
        <v>100</v>
      </c>
      <c r="F64" s="167">
        <f>'PANN - 6-Year'!D4</f>
        <v>100</v>
      </c>
      <c r="G64" s="167">
        <f>'PANN - 6-Year'!E4</f>
        <v>100</v>
      </c>
      <c r="H64" s="167">
        <f>'PANN - 6-Year'!F4</f>
        <v>100</v>
      </c>
      <c r="I64" s="167">
        <f>'PANN - 6-Year'!G4</f>
        <v>100</v>
      </c>
    </row>
    <row r="65" spans="2:9" x14ac:dyDescent="0.25">
      <c r="C65" s="167">
        <v>1</v>
      </c>
      <c r="D65" s="167">
        <f>'PANN - 6-Year'!B5</f>
        <v>100</v>
      </c>
      <c r="E65" s="167">
        <f>'PANN - 6-Year'!C5</f>
        <v>100</v>
      </c>
      <c r="F65" s="167">
        <f>'PANN - 6-Year'!D5</f>
        <v>100</v>
      </c>
      <c r="G65" s="167">
        <f>'PANN - 6-Year'!E5</f>
        <v>100</v>
      </c>
      <c r="H65" s="167">
        <f>'PANN - 6-Year'!F5</f>
        <v>100</v>
      </c>
      <c r="I65" s="167">
        <f>'PANN - 6-Year'!G5</f>
        <v>100</v>
      </c>
    </row>
    <row r="66" spans="2:9" x14ac:dyDescent="0.25">
      <c r="C66" s="167">
        <v>2</v>
      </c>
      <c r="D66" s="167">
        <f>'PANN - 6-Year'!B6</f>
        <v>104</v>
      </c>
      <c r="E66" s="167">
        <f>'PANN - 6-Year'!C6</f>
        <v>104</v>
      </c>
      <c r="F66" s="167">
        <f>'PANN - 6-Year'!D6</f>
        <v>104</v>
      </c>
      <c r="G66" s="167">
        <f>'PANN - 6-Year'!E6</f>
        <v>104</v>
      </c>
      <c r="H66" s="167">
        <f>'PANN - 6-Year'!F6</f>
        <v>104</v>
      </c>
      <c r="I66" s="167">
        <f>'PANN - 6-Year'!G6</f>
        <v>104</v>
      </c>
    </row>
    <row r="67" spans="2:9" x14ac:dyDescent="0.25">
      <c r="C67" s="167">
        <v>3</v>
      </c>
      <c r="D67" s="167">
        <f>'PANN - 6-Year'!B7</f>
        <v>104</v>
      </c>
      <c r="E67" s="167">
        <f>'PANN - 6-Year'!C7</f>
        <v>104</v>
      </c>
      <c r="F67" s="167">
        <f>'PANN - 6-Year'!D7</f>
        <v>104</v>
      </c>
      <c r="G67" s="167">
        <f>'PANN - 6-Year'!E7</f>
        <v>104</v>
      </c>
      <c r="H67" s="167">
        <f>'PANN - 6-Year'!F7</f>
        <v>104</v>
      </c>
      <c r="I67" s="167">
        <f>'PANN - 6-Year'!G7</f>
        <v>104</v>
      </c>
    </row>
    <row r="68" spans="2:9" x14ac:dyDescent="0.25">
      <c r="C68" s="167">
        <v>4</v>
      </c>
      <c r="D68" s="167">
        <f>'PANN - 6-Year'!B8</f>
        <v>78</v>
      </c>
      <c r="E68" s="167">
        <f>'PANN - 6-Year'!C8</f>
        <v>104</v>
      </c>
      <c r="F68" s="167">
        <f>'PANN - 6-Year'!D8</f>
        <v>104</v>
      </c>
      <c r="G68" s="167">
        <f>'PANN - 6-Year'!E8</f>
        <v>104</v>
      </c>
      <c r="H68" s="167">
        <f>'PANN - 6-Year'!F8</f>
        <v>104</v>
      </c>
      <c r="I68" s="167">
        <f>'PANN - 6-Year'!G8</f>
        <v>104</v>
      </c>
    </row>
    <row r="69" spans="2:9" x14ac:dyDescent="0.25">
      <c r="C69" s="167">
        <v>5</v>
      </c>
      <c r="D69" s="167">
        <f>'PANN - 6-Year'!B9</f>
        <v>78</v>
      </c>
      <c r="E69" s="167">
        <f>'PANN - 6-Year'!C9</f>
        <v>78</v>
      </c>
      <c r="F69" s="167">
        <f>'PANN - 6-Year'!D9</f>
        <v>104</v>
      </c>
      <c r="G69" s="167">
        <f>'PANN - 6-Year'!E9</f>
        <v>104</v>
      </c>
      <c r="H69" s="167">
        <f>'PANN - 6-Year'!F9</f>
        <v>104</v>
      </c>
      <c r="I69" s="167">
        <f>'PANN - 6-Year'!G9</f>
        <v>104</v>
      </c>
    </row>
    <row r="70" spans="2:9" x14ac:dyDescent="0.25">
      <c r="C70" s="167">
        <v>6</v>
      </c>
      <c r="D70" s="167">
        <f>'PANN - 6-Year'!B10</f>
        <v>62</v>
      </c>
      <c r="E70" s="167">
        <f>'PANN - 6-Year'!C10</f>
        <v>93</v>
      </c>
      <c r="F70" s="167">
        <f>'PANN - 6-Year'!D10</f>
        <v>124</v>
      </c>
      <c r="G70" s="167">
        <f>'PANN - 6-Year'!E10</f>
        <v>124</v>
      </c>
      <c r="H70" s="167">
        <f>'PANN - 6-Year'!F10</f>
        <v>124</v>
      </c>
      <c r="I70" s="167">
        <f>'PANN - 6-Year'!G10</f>
        <v>124</v>
      </c>
    </row>
    <row r="71" spans="2:9" x14ac:dyDescent="0.25">
      <c r="C71" s="167">
        <v>7</v>
      </c>
      <c r="D71" s="167">
        <f>'PANN - 6-Year'!B11</f>
        <v>62</v>
      </c>
      <c r="E71" s="167">
        <f>'PANN - 6-Year'!C11</f>
        <v>62</v>
      </c>
      <c r="F71" s="167">
        <f>'PANN - 6-Year'!D11</f>
        <v>93</v>
      </c>
      <c r="G71" s="167">
        <f>'PANN - 6-Year'!E11</f>
        <v>124</v>
      </c>
      <c r="H71" s="167">
        <f>'PANN - 6-Year'!F11</f>
        <v>124</v>
      </c>
      <c r="I71" s="167">
        <f>'PANN - 6-Year'!G11</f>
        <v>124</v>
      </c>
    </row>
    <row r="72" spans="2:9" x14ac:dyDescent="0.25">
      <c r="C72" s="167">
        <v>8</v>
      </c>
      <c r="D72" s="174" t="s">
        <v>209</v>
      </c>
      <c r="E72" s="167">
        <f>'PANN - 6-Year'!C12</f>
        <v>62</v>
      </c>
      <c r="F72" s="167">
        <f>'PANN - 6-Year'!D12</f>
        <v>62</v>
      </c>
      <c r="G72" s="167">
        <f>'PANN - 6-Year'!E12</f>
        <v>93</v>
      </c>
      <c r="H72" s="167">
        <f>'PANN - 6-Year'!F12</f>
        <v>124</v>
      </c>
      <c r="I72" s="167">
        <f>'PANN - 6-Year'!G12</f>
        <v>124</v>
      </c>
    </row>
    <row r="73" spans="2:9" x14ac:dyDescent="0.25">
      <c r="C73" s="167">
        <v>9</v>
      </c>
      <c r="D73" s="174"/>
      <c r="E73" s="174"/>
      <c r="F73" s="174"/>
      <c r="G73" s="174"/>
      <c r="H73" s="174"/>
      <c r="I73" s="174"/>
    </row>
    <row r="74" spans="2:9" x14ac:dyDescent="0.25">
      <c r="C74" s="167">
        <v>10</v>
      </c>
      <c r="D74" s="174"/>
      <c r="E74" s="174"/>
      <c r="F74" s="174"/>
      <c r="G74" s="174"/>
      <c r="H74" s="174"/>
      <c r="I74" s="174"/>
    </row>
    <row r="75" spans="2:9" x14ac:dyDescent="0.25">
      <c r="C75" s="167">
        <v>11</v>
      </c>
      <c r="D75" s="174"/>
      <c r="E75" s="174"/>
      <c r="F75" s="174"/>
      <c r="G75" s="174"/>
      <c r="H75" s="174"/>
      <c r="I75" s="174"/>
    </row>
    <row r="76" spans="2:9" x14ac:dyDescent="0.25">
      <c r="C76" s="167">
        <v>12</v>
      </c>
      <c r="D76" s="174"/>
      <c r="E76" s="174"/>
      <c r="F76" s="174"/>
      <c r="G76" s="174"/>
      <c r="H76" s="174"/>
      <c r="I76" s="174"/>
    </row>
    <row r="77" spans="2:9" x14ac:dyDescent="0.25">
      <c r="C77" s="171" t="s">
        <v>207</v>
      </c>
      <c r="D77" s="165">
        <f t="shared" ref="D77:I77" si="13">SUM(D64:D76)</f>
        <v>688</v>
      </c>
      <c r="E77" s="165">
        <f t="shared" si="13"/>
        <v>807</v>
      </c>
      <c r="F77" s="165">
        <f t="shared" si="13"/>
        <v>895</v>
      </c>
      <c r="G77" s="165">
        <f t="shared" si="13"/>
        <v>957</v>
      </c>
      <c r="H77" s="175">
        <f t="shared" si="13"/>
        <v>988</v>
      </c>
      <c r="I77" s="175">
        <f t="shared" si="13"/>
        <v>988</v>
      </c>
    </row>
    <row r="78" spans="2:9" x14ac:dyDescent="0.25">
      <c r="D78" s="172"/>
      <c r="E78" s="172"/>
      <c r="F78" s="172"/>
      <c r="G78" s="172"/>
      <c r="H78" s="172"/>
      <c r="I78" s="172"/>
    </row>
    <row r="79" spans="2:9" x14ac:dyDescent="0.25">
      <c r="D79" s="176">
        <f>D77/D77</f>
        <v>1</v>
      </c>
      <c r="E79" s="176">
        <f t="shared" ref="E79:I79" si="14">E77/E77</f>
        <v>1</v>
      </c>
      <c r="F79" s="176">
        <f t="shared" si="14"/>
        <v>1</v>
      </c>
      <c r="G79" s="176">
        <f t="shared" si="14"/>
        <v>1</v>
      </c>
      <c r="H79" s="176">
        <f t="shared" si="14"/>
        <v>1</v>
      </c>
      <c r="I79" s="176">
        <f t="shared" si="14"/>
        <v>1</v>
      </c>
    </row>
    <row r="80" spans="2:9" x14ac:dyDescent="0.25">
      <c r="B80" s="173" t="s">
        <v>242</v>
      </c>
      <c r="D80" s="172"/>
      <c r="E80" s="172"/>
      <c r="F80" s="172"/>
      <c r="G80" s="172"/>
      <c r="H80" s="172"/>
      <c r="I80" s="172"/>
    </row>
    <row r="81" spans="3:9" x14ac:dyDescent="0.25">
      <c r="C81" s="196" t="s">
        <v>217</v>
      </c>
      <c r="D81" s="197" t="s">
        <v>216</v>
      </c>
      <c r="E81" s="197"/>
      <c r="F81" s="197"/>
      <c r="G81" s="197"/>
      <c r="H81" s="197"/>
      <c r="I81" s="197"/>
    </row>
    <row r="82" spans="3:9" x14ac:dyDescent="0.25">
      <c r="C82" s="196"/>
      <c r="D82" s="165" t="s">
        <v>215</v>
      </c>
      <c r="E82" s="165" t="s">
        <v>214</v>
      </c>
      <c r="F82" s="165" t="s">
        <v>213</v>
      </c>
      <c r="G82" s="165" t="s">
        <v>212</v>
      </c>
      <c r="H82" s="165" t="s">
        <v>211</v>
      </c>
      <c r="I82" s="165" t="s">
        <v>210</v>
      </c>
    </row>
    <row r="83" spans="3:9" x14ac:dyDescent="0.25">
      <c r="C83" s="167" t="s">
        <v>208</v>
      </c>
      <c r="D83" s="167">
        <f>ROUND(D64*1.05,0)</f>
        <v>105</v>
      </c>
      <c r="E83" s="167">
        <f t="shared" ref="E83:I83" si="15">ROUND(E64*1.05,0)</f>
        <v>105</v>
      </c>
      <c r="F83" s="167">
        <f t="shared" si="15"/>
        <v>105</v>
      </c>
      <c r="G83" s="167">
        <f t="shared" si="15"/>
        <v>105</v>
      </c>
      <c r="H83" s="167">
        <f t="shared" si="15"/>
        <v>105</v>
      </c>
      <c r="I83" s="167">
        <f t="shared" si="15"/>
        <v>105</v>
      </c>
    </row>
    <row r="84" spans="3:9" x14ac:dyDescent="0.25">
      <c r="C84" s="167">
        <v>1</v>
      </c>
      <c r="D84" s="167">
        <f t="shared" ref="D84:I91" si="16">ROUND(D65*1.05,0)</f>
        <v>105</v>
      </c>
      <c r="E84" s="167">
        <f t="shared" si="16"/>
        <v>105</v>
      </c>
      <c r="F84" s="167">
        <f t="shared" si="16"/>
        <v>105</v>
      </c>
      <c r="G84" s="167">
        <f t="shared" si="16"/>
        <v>105</v>
      </c>
      <c r="H84" s="167">
        <f t="shared" si="16"/>
        <v>105</v>
      </c>
      <c r="I84" s="167">
        <f t="shared" si="16"/>
        <v>105</v>
      </c>
    </row>
    <row r="85" spans="3:9" x14ac:dyDescent="0.25">
      <c r="C85" s="167">
        <v>2</v>
      </c>
      <c r="D85" s="167">
        <f t="shared" si="16"/>
        <v>109</v>
      </c>
      <c r="E85" s="167">
        <f t="shared" si="16"/>
        <v>109</v>
      </c>
      <c r="F85" s="167">
        <f t="shared" si="16"/>
        <v>109</v>
      </c>
      <c r="G85" s="167">
        <f t="shared" si="16"/>
        <v>109</v>
      </c>
      <c r="H85" s="167">
        <f t="shared" si="16"/>
        <v>109</v>
      </c>
      <c r="I85" s="167">
        <f t="shared" si="16"/>
        <v>109</v>
      </c>
    </row>
    <row r="86" spans="3:9" x14ac:dyDescent="0.25">
      <c r="C86" s="167">
        <v>3</v>
      </c>
      <c r="D86" s="167">
        <f t="shared" si="16"/>
        <v>109</v>
      </c>
      <c r="E86" s="167">
        <f t="shared" si="16"/>
        <v>109</v>
      </c>
      <c r="F86" s="167">
        <f t="shared" si="16"/>
        <v>109</v>
      </c>
      <c r="G86" s="167">
        <f t="shared" si="16"/>
        <v>109</v>
      </c>
      <c r="H86" s="167">
        <f t="shared" si="16"/>
        <v>109</v>
      </c>
      <c r="I86" s="167">
        <f t="shared" si="16"/>
        <v>109</v>
      </c>
    </row>
    <row r="87" spans="3:9" x14ac:dyDescent="0.25">
      <c r="C87" s="167">
        <v>4</v>
      </c>
      <c r="D87" s="167">
        <f t="shared" si="16"/>
        <v>82</v>
      </c>
      <c r="E87" s="167">
        <f t="shared" si="16"/>
        <v>109</v>
      </c>
      <c r="F87" s="167">
        <f t="shared" si="16"/>
        <v>109</v>
      </c>
      <c r="G87" s="167">
        <f t="shared" si="16"/>
        <v>109</v>
      </c>
      <c r="H87" s="167">
        <f t="shared" si="16"/>
        <v>109</v>
      </c>
      <c r="I87" s="167">
        <f t="shared" si="16"/>
        <v>109</v>
      </c>
    </row>
    <row r="88" spans="3:9" x14ac:dyDescent="0.25">
      <c r="C88" s="167">
        <v>5</v>
      </c>
      <c r="D88" s="167">
        <f t="shared" si="16"/>
        <v>82</v>
      </c>
      <c r="E88" s="167">
        <f t="shared" si="16"/>
        <v>82</v>
      </c>
      <c r="F88" s="167">
        <f t="shared" si="16"/>
        <v>109</v>
      </c>
      <c r="G88" s="167">
        <f t="shared" si="16"/>
        <v>109</v>
      </c>
      <c r="H88" s="167">
        <f t="shared" si="16"/>
        <v>109</v>
      </c>
      <c r="I88" s="167">
        <f t="shared" si="16"/>
        <v>109</v>
      </c>
    </row>
    <row r="89" spans="3:9" x14ac:dyDescent="0.25">
      <c r="C89" s="167">
        <v>6</v>
      </c>
      <c r="D89" s="167">
        <f t="shared" si="16"/>
        <v>65</v>
      </c>
      <c r="E89" s="167">
        <f t="shared" si="16"/>
        <v>98</v>
      </c>
      <c r="F89" s="167">
        <f t="shared" si="16"/>
        <v>130</v>
      </c>
      <c r="G89" s="167">
        <f t="shared" si="16"/>
        <v>130</v>
      </c>
      <c r="H89" s="167">
        <f t="shared" si="16"/>
        <v>130</v>
      </c>
      <c r="I89" s="167">
        <f t="shared" si="16"/>
        <v>130</v>
      </c>
    </row>
    <row r="90" spans="3:9" x14ac:dyDescent="0.25">
      <c r="C90" s="167">
        <v>7</v>
      </c>
      <c r="D90" s="167">
        <f t="shared" si="16"/>
        <v>65</v>
      </c>
      <c r="E90" s="167">
        <f t="shared" si="16"/>
        <v>65</v>
      </c>
      <c r="F90" s="167">
        <f t="shared" si="16"/>
        <v>98</v>
      </c>
      <c r="G90" s="167">
        <f t="shared" si="16"/>
        <v>130</v>
      </c>
      <c r="H90" s="167">
        <f t="shared" si="16"/>
        <v>130</v>
      </c>
      <c r="I90" s="167">
        <f t="shared" si="16"/>
        <v>130</v>
      </c>
    </row>
    <row r="91" spans="3:9" x14ac:dyDescent="0.25">
      <c r="C91" s="167">
        <v>8</v>
      </c>
      <c r="D91" s="174" t="s">
        <v>209</v>
      </c>
      <c r="E91" s="167">
        <f t="shared" si="16"/>
        <v>65</v>
      </c>
      <c r="F91" s="167">
        <f t="shared" si="16"/>
        <v>65</v>
      </c>
      <c r="G91" s="167">
        <f t="shared" si="16"/>
        <v>98</v>
      </c>
      <c r="H91" s="167">
        <f t="shared" si="16"/>
        <v>130</v>
      </c>
      <c r="I91" s="167">
        <f t="shared" si="16"/>
        <v>130</v>
      </c>
    </row>
    <row r="92" spans="3:9" x14ac:dyDescent="0.25">
      <c r="C92" s="167">
        <v>9</v>
      </c>
      <c r="D92" s="174"/>
      <c r="E92" s="174"/>
      <c r="F92" s="174"/>
      <c r="G92" s="174"/>
      <c r="H92" s="174"/>
      <c r="I92" s="174"/>
    </row>
    <row r="93" spans="3:9" x14ac:dyDescent="0.25">
      <c r="C93" s="167">
        <v>10</v>
      </c>
      <c r="D93" s="174"/>
      <c r="E93" s="174"/>
      <c r="F93" s="174"/>
      <c r="G93" s="174"/>
      <c r="H93" s="174"/>
      <c r="I93" s="174"/>
    </row>
    <row r="94" spans="3:9" x14ac:dyDescent="0.25">
      <c r="C94" s="167">
        <v>11</v>
      </c>
      <c r="D94" s="174"/>
      <c r="E94" s="174"/>
      <c r="F94" s="174"/>
      <c r="G94" s="174"/>
      <c r="H94" s="174"/>
      <c r="I94" s="174"/>
    </row>
    <row r="95" spans="3:9" x14ac:dyDescent="0.25">
      <c r="C95" s="167">
        <v>12</v>
      </c>
      <c r="D95" s="174"/>
      <c r="E95" s="174"/>
      <c r="F95" s="174"/>
      <c r="G95" s="174"/>
      <c r="H95" s="174"/>
      <c r="I95" s="174"/>
    </row>
    <row r="96" spans="3:9" x14ac:dyDescent="0.25">
      <c r="C96" s="171" t="s">
        <v>207</v>
      </c>
      <c r="D96" s="165">
        <f t="shared" ref="D96:I96" si="17">SUM(D83:D95)</f>
        <v>722</v>
      </c>
      <c r="E96" s="165">
        <f t="shared" si="17"/>
        <v>847</v>
      </c>
      <c r="F96" s="165">
        <f t="shared" si="17"/>
        <v>939</v>
      </c>
      <c r="G96" s="165">
        <f t="shared" si="17"/>
        <v>1004</v>
      </c>
      <c r="H96" s="175">
        <f t="shared" si="17"/>
        <v>1036</v>
      </c>
      <c r="I96" s="175">
        <f t="shared" si="17"/>
        <v>1036</v>
      </c>
    </row>
    <row r="98" spans="4:9" x14ac:dyDescent="0.25">
      <c r="D98" s="176">
        <f>D96/D77</f>
        <v>1.0494186046511629</v>
      </c>
      <c r="E98" s="176">
        <f t="shared" ref="E98:I98" si="18">E96/E77</f>
        <v>1.0495662949194549</v>
      </c>
      <c r="F98" s="176">
        <f t="shared" si="18"/>
        <v>1.0491620111731843</v>
      </c>
      <c r="G98" s="176">
        <f t="shared" si="18"/>
        <v>1.0491118077324975</v>
      </c>
      <c r="H98" s="176">
        <f t="shared" si="18"/>
        <v>1.048582995951417</v>
      </c>
      <c r="I98" s="176">
        <f t="shared" si="18"/>
        <v>1.048582995951417</v>
      </c>
    </row>
  </sheetData>
  <mergeCells count="8">
    <mergeCell ref="C81:C82"/>
    <mergeCell ref="D81:I81"/>
    <mergeCell ref="B9:I9"/>
    <mergeCell ref="D10:I10"/>
    <mergeCell ref="C42:C43"/>
    <mergeCell ref="D42:I42"/>
    <mergeCell ref="C62:C63"/>
    <mergeCell ref="D62:I62"/>
  </mergeCells>
  <pageMargins left="0.7" right="0.7" top="0.75" bottom="0.75" header="0.3" footer="0.3"/>
  <pageSetup scale="3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03"/>
  <sheetViews>
    <sheetView zoomScale="70" zoomScaleNormal="70" workbookViewId="0">
      <selection activeCell="E30" sqref="E30"/>
    </sheetView>
  </sheetViews>
  <sheetFormatPr defaultColWidth="8.88671875" defaultRowHeight="14.4" x14ac:dyDescent="0.3"/>
  <cols>
    <col min="1" max="1" width="48.44140625" style="1" bestFit="1" customWidth="1"/>
    <col min="2" max="2" width="18.5546875" style="2" hidden="1" customWidth="1"/>
    <col min="3" max="7" width="18.5546875" style="2" customWidth="1"/>
    <col min="8" max="8" width="11.5546875" style="1" bestFit="1" customWidth="1"/>
    <col min="9" max="9" width="8.88671875" style="1" customWidth="1"/>
    <col min="10" max="10" width="8.44140625" style="1" customWidth="1"/>
    <col min="11" max="14" width="8.88671875" style="1" customWidth="1"/>
    <col min="15" max="15" width="5.109375" style="1" bestFit="1" customWidth="1"/>
    <col min="16" max="16" width="8.88671875" style="1"/>
    <col min="25" max="16384" width="8.88671875" style="1"/>
  </cols>
  <sheetData>
    <row r="1" spans="1:16" ht="15" thickBot="1" x14ac:dyDescent="0.35">
      <c r="A1" s="79" t="s">
        <v>176</v>
      </c>
      <c r="B1" s="78" t="s">
        <v>144</v>
      </c>
      <c r="C1" s="78" t="s">
        <v>145</v>
      </c>
      <c r="D1" s="78" t="s">
        <v>146</v>
      </c>
      <c r="E1" s="78" t="s">
        <v>147</v>
      </c>
      <c r="F1" s="78" t="s">
        <v>148</v>
      </c>
      <c r="G1" s="78" t="s">
        <v>149</v>
      </c>
    </row>
    <row r="2" spans="1:16" x14ac:dyDescent="0.3">
      <c r="A2" s="77" t="s">
        <v>132</v>
      </c>
      <c r="B2" s="76">
        <f>(5764+1340)*1.013</f>
        <v>7196.351999999999</v>
      </c>
      <c r="C2" s="106">
        <f>B2*1.013</f>
        <v>7289.9045759999981</v>
      </c>
      <c r="D2" s="76">
        <f>C2*1.013</f>
        <v>7384.6733354879971</v>
      </c>
      <c r="E2" s="76">
        <f>D2*1.013</f>
        <v>7480.6740888493405</v>
      </c>
      <c r="F2" s="76">
        <f>E2*1.013</f>
        <v>7577.9228520043807</v>
      </c>
      <c r="G2" s="75">
        <f>F2*1.013</f>
        <v>7676.435849080437</v>
      </c>
    </row>
    <row r="3" spans="1:16" x14ac:dyDescent="0.3">
      <c r="A3" s="74" t="s">
        <v>118</v>
      </c>
      <c r="B3" s="105" t="s">
        <v>175</v>
      </c>
      <c r="C3" s="107">
        <f t="shared" ref="C3:G3" si="0">SUM(C4:C16)</f>
        <v>738</v>
      </c>
      <c r="D3" s="8">
        <f t="shared" si="0"/>
        <v>883</v>
      </c>
      <c r="E3" s="8">
        <f t="shared" si="0"/>
        <v>997</v>
      </c>
      <c r="F3" s="8">
        <f t="shared" si="0"/>
        <v>1085</v>
      </c>
      <c r="G3" s="8">
        <f t="shared" si="0"/>
        <v>1142</v>
      </c>
      <c r="H3" s="3"/>
      <c r="P3" s="94"/>
    </row>
    <row r="4" spans="1:16" x14ac:dyDescent="0.3">
      <c r="A4" s="73" t="s">
        <v>131</v>
      </c>
      <c r="B4" s="38">
        <v>0</v>
      </c>
      <c r="C4" s="108">
        <v>125</v>
      </c>
      <c r="D4" s="38">
        <v>125</v>
      </c>
      <c r="E4" s="38">
        <v>125</v>
      </c>
      <c r="F4" s="38">
        <v>125</v>
      </c>
      <c r="G4" s="38">
        <v>125</v>
      </c>
      <c r="H4" s="3"/>
      <c r="I4" s="29">
        <f>B4/25</f>
        <v>0</v>
      </c>
      <c r="J4" s="29">
        <f>C4/25</f>
        <v>5</v>
      </c>
      <c r="K4" s="29">
        <f t="shared" ref="K4:N5" si="1">D4/25</f>
        <v>5</v>
      </c>
      <c r="L4" s="29">
        <f t="shared" si="1"/>
        <v>5</v>
      </c>
      <c r="M4" s="29">
        <f t="shared" si="1"/>
        <v>5</v>
      </c>
      <c r="N4" s="29">
        <f t="shared" si="1"/>
        <v>5</v>
      </c>
      <c r="O4" s="29"/>
      <c r="P4" s="95"/>
    </row>
    <row r="5" spans="1:16" x14ac:dyDescent="0.3">
      <c r="A5" s="72" t="s">
        <v>130</v>
      </c>
      <c r="B5" s="38">
        <v>0</v>
      </c>
      <c r="C5" s="108">
        <v>125</v>
      </c>
      <c r="D5" s="38">
        <v>125</v>
      </c>
      <c r="E5" s="38">
        <v>125</v>
      </c>
      <c r="F5" s="38">
        <v>125</v>
      </c>
      <c r="G5" s="38">
        <v>125</v>
      </c>
      <c r="H5" s="3"/>
      <c r="I5" s="29">
        <f>B5/26</f>
        <v>0</v>
      </c>
      <c r="J5" s="29">
        <f>C5/25</f>
        <v>5</v>
      </c>
      <c r="K5" s="29">
        <f t="shared" si="1"/>
        <v>5</v>
      </c>
      <c r="L5" s="29">
        <f t="shared" si="1"/>
        <v>5</v>
      </c>
      <c r="M5" s="29">
        <f t="shared" si="1"/>
        <v>5</v>
      </c>
      <c r="N5" s="29">
        <f t="shared" si="1"/>
        <v>5</v>
      </c>
      <c r="O5" s="29"/>
      <c r="P5" s="95"/>
    </row>
    <row r="6" spans="1:16" x14ac:dyDescent="0.3">
      <c r="A6" s="72" t="s">
        <v>129</v>
      </c>
      <c r="B6" s="38">
        <v>0</v>
      </c>
      <c r="C6" s="108">
        <v>104</v>
      </c>
      <c r="D6" s="38">
        <v>130</v>
      </c>
      <c r="E6" s="38">
        <v>130</v>
      </c>
      <c r="F6" s="38">
        <v>130</v>
      </c>
      <c r="G6" s="38">
        <v>130</v>
      </c>
      <c r="H6" s="3"/>
      <c r="I6" s="29">
        <f>B6/26</f>
        <v>0</v>
      </c>
      <c r="J6" s="29">
        <f t="shared" ref="J6:N9" si="2">C6/26</f>
        <v>4</v>
      </c>
      <c r="K6" s="29">
        <f t="shared" si="2"/>
        <v>5</v>
      </c>
      <c r="L6" s="29">
        <f t="shared" si="2"/>
        <v>5</v>
      </c>
      <c r="M6" s="29">
        <f t="shared" si="2"/>
        <v>5</v>
      </c>
      <c r="N6" s="29">
        <f t="shared" si="2"/>
        <v>5</v>
      </c>
      <c r="O6" s="29"/>
      <c r="P6" s="95"/>
    </row>
    <row r="7" spans="1:16" x14ac:dyDescent="0.3">
      <c r="A7" s="71" t="s">
        <v>128</v>
      </c>
      <c r="B7" s="38">
        <v>0</v>
      </c>
      <c r="C7" s="108">
        <v>104</v>
      </c>
      <c r="D7" s="38">
        <v>104</v>
      </c>
      <c r="E7" s="38">
        <v>130</v>
      </c>
      <c r="F7" s="38">
        <v>130</v>
      </c>
      <c r="G7" s="38">
        <v>130</v>
      </c>
      <c r="H7" s="3"/>
      <c r="I7" s="29">
        <f>B7/26</f>
        <v>0</v>
      </c>
      <c r="J7" s="29">
        <f t="shared" si="2"/>
        <v>4</v>
      </c>
      <c r="K7" s="29">
        <f t="shared" si="2"/>
        <v>4</v>
      </c>
      <c r="L7" s="29">
        <f t="shared" si="2"/>
        <v>5</v>
      </c>
      <c r="M7" s="29">
        <f t="shared" si="2"/>
        <v>5</v>
      </c>
      <c r="N7" s="29">
        <f t="shared" si="2"/>
        <v>5</v>
      </c>
      <c r="O7" s="29"/>
      <c r="P7" s="96"/>
    </row>
    <row r="8" spans="1:16" x14ac:dyDescent="0.3">
      <c r="A8" s="71" t="s">
        <v>127</v>
      </c>
      <c r="B8" s="38">
        <v>0</v>
      </c>
      <c r="C8" s="108">
        <v>78</v>
      </c>
      <c r="D8" s="38">
        <v>104</v>
      </c>
      <c r="E8" s="38">
        <v>104</v>
      </c>
      <c r="F8" s="38">
        <v>130</v>
      </c>
      <c r="G8" s="38">
        <v>130</v>
      </c>
      <c r="H8" s="3"/>
      <c r="I8" s="29">
        <f>B8/26</f>
        <v>0</v>
      </c>
      <c r="J8" s="29">
        <f t="shared" si="2"/>
        <v>3</v>
      </c>
      <c r="K8" s="29">
        <f t="shared" si="2"/>
        <v>4</v>
      </c>
      <c r="L8" s="29">
        <f t="shared" si="2"/>
        <v>4</v>
      </c>
      <c r="M8" s="29">
        <f t="shared" si="2"/>
        <v>5</v>
      </c>
      <c r="N8" s="29">
        <f t="shared" si="2"/>
        <v>5</v>
      </c>
      <c r="O8" s="29"/>
      <c r="P8" s="29"/>
    </row>
    <row r="9" spans="1:16" x14ac:dyDescent="0.3">
      <c r="A9" s="71" t="s">
        <v>126</v>
      </c>
      <c r="B9" s="38">
        <v>0</v>
      </c>
      <c r="C9" s="108">
        <v>78</v>
      </c>
      <c r="D9" s="38">
        <v>78</v>
      </c>
      <c r="E9" s="38">
        <v>104</v>
      </c>
      <c r="F9" s="38">
        <v>104</v>
      </c>
      <c r="G9" s="38">
        <v>130</v>
      </c>
      <c r="H9" s="3"/>
      <c r="I9" s="29">
        <v>0</v>
      </c>
      <c r="J9" s="29">
        <f>C9/26</f>
        <v>3</v>
      </c>
      <c r="K9" s="29">
        <f t="shared" si="2"/>
        <v>3</v>
      </c>
      <c r="L9" s="29">
        <f t="shared" si="2"/>
        <v>4</v>
      </c>
      <c r="M9" s="29">
        <f t="shared" si="2"/>
        <v>4</v>
      </c>
      <c r="N9" s="29">
        <f t="shared" si="2"/>
        <v>5</v>
      </c>
      <c r="O9" s="29"/>
    </row>
    <row r="10" spans="1:16" x14ac:dyDescent="0.3">
      <c r="A10" s="71" t="s">
        <v>125</v>
      </c>
      <c r="B10" s="38">
        <v>0</v>
      </c>
      <c r="C10" s="108">
        <v>62</v>
      </c>
      <c r="D10" s="38">
        <v>93</v>
      </c>
      <c r="E10" s="38">
        <v>124</v>
      </c>
      <c r="F10" s="38">
        <v>124</v>
      </c>
      <c r="G10" s="38">
        <v>124</v>
      </c>
      <c r="H10" s="3"/>
      <c r="I10" s="29">
        <f>B10/30</f>
        <v>0</v>
      </c>
      <c r="J10" s="29">
        <f>C10/31</f>
        <v>2</v>
      </c>
      <c r="K10" s="29">
        <f t="shared" ref="K10:N16" si="3">D10/31</f>
        <v>3</v>
      </c>
      <c r="L10" s="29">
        <f t="shared" si="3"/>
        <v>4</v>
      </c>
      <c r="M10" s="29">
        <f t="shared" si="3"/>
        <v>4</v>
      </c>
      <c r="N10" s="29">
        <f t="shared" si="3"/>
        <v>4</v>
      </c>
      <c r="O10" s="29"/>
      <c r="P10" s="94"/>
    </row>
    <row r="11" spans="1:16" x14ac:dyDescent="0.3">
      <c r="A11" s="71" t="s">
        <v>124</v>
      </c>
      <c r="B11" s="38">
        <v>0</v>
      </c>
      <c r="C11" s="108">
        <v>62</v>
      </c>
      <c r="D11" s="38">
        <v>62</v>
      </c>
      <c r="E11" s="38">
        <v>93</v>
      </c>
      <c r="F11" s="38">
        <v>124</v>
      </c>
      <c r="G11" s="38">
        <v>124</v>
      </c>
      <c r="H11" s="3"/>
      <c r="I11" s="29">
        <f>B11/30</f>
        <v>0</v>
      </c>
      <c r="J11" s="29">
        <f t="shared" ref="J11:K16" si="4">C11/31</f>
        <v>2</v>
      </c>
      <c r="K11" s="29">
        <f t="shared" si="3"/>
        <v>2</v>
      </c>
      <c r="L11" s="29">
        <f t="shared" si="3"/>
        <v>3</v>
      </c>
      <c r="M11" s="29">
        <f t="shared" si="3"/>
        <v>4</v>
      </c>
      <c r="N11" s="29">
        <f t="shared" si="3"/>
        <v>4</v>
      </c>
      <c r="O11" s="29"/>
      <c r="P11" s="95"/>
    </row>
    <row r="12" spans="1:16" x14ac:dyDescent="0.3">
      <c r="A12" s="71" t="s">
        <v>123</v>
      </c>
      <c r="B12" s="38">
        <v>0</v>
      </c>
      <c r="C12" s="108">
        <v>0</v>
      </c>
      <c r="D12" s="38">
        <v>62</v>
      </c>
      <c r="E12" s="38">
        <v>62</v>
      </c>
      <c r="F12" s="38">
        <v>93</v>
      </c>
      <c r="G12" s="38">
        <v>124</v>
      </c>
      <c r="H12" s="3"/>
      <c r="I12" s="29">
        <f>B12/30</f>
        <v>0</v>
      </c>
      <c r="J12" s="29">
        <f t="shared" si="4"/>
        <v>0</v>
      </c>
      <c r="K12" s="29">
        <f t="shared" si="3"/>
        <v>2</v>
      </c>
      <c r="L12" s="29">
        <f t="shared" si="3"/>
        <v>2</v>
      </c>
      <c r="M12" s="29">
        <f t="shared" si="3"/>
        <v>3</v>
      </c>
      <c r="N12" s="29">
        <f t="shared" si="3"/>
        <v>4</v>
      </c>
      <c r="O12" s="29"/>
      <c r="P12" s="95"/>
    </row>
    <row r="13" spans="1:16" x14ac:dyDescent="0.3">
      <c r="A13" s="71" t="s">
        <v>122</v>
      </c>
      <c r="B13" s="38">
        <v>0</v>
      </c>
      <c r="C13" s="108">
        <v>0</v>
      </c>
      <c r="D13" s="38">
        <v>0</v>
      </c>
      <c r="E13" s="38">
        <v>0</v>
      </c>
      <c r="F13" s="38">
        <v>0</v>
      </c>
      <c r="G13" s="38">
        <v>0</v>
      </c>
      <c r="H13" s="3"/>
      <c r="I13" s="29">
        <f>B13/31</f>
        <v>0</v>
      </c>
      <c r="J13" s="29">
        <f t="shared" si="4"/>
        <v>0</v>
      </c>
      <c r="K13" s="29">
        <f t="shared" si="4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/>
      <c r="P13" s="95"/>
    </row>
    <row r="14" spans="1:16" x14ac:dyDescent="0.3">
      <c r="A14" s="71" t="s">
        <v>121</v>
      </c>
      <c r="B14" s="38">
        <v>0</v>
      </c>
      <c r="C14" s="108">
        <v>0</v>
      </c>
      <c r="D14" s="38">
        <v>0</v>
      </c>
      <c r="E14" s="38">
        <v>0</v>
      </c>
      <c r="F14" s="38">
        <v>0</v>
      </c>
      <c r="G14" s="38">
        <v>0</v>
      </c>
      <c r="H14" s="3"/>
      <c r="I14" s="29">
        <f>B14/31</f>
        <v>0</v>
      </c>
      <c r="J14" s="29">
        <f t="shared" si="4"/>
        <v>0</v>
      </c>
      <c r="K14" s="29">
        <f t="shared" si="4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29"/>
      <c r="P14" s="96"/>
    </row>
    <row r="15" spans="1:16" x14ac:dyDescent="0.3">
      <c r="A15" s="71" t="s">
        <v>120</v>
      </c>
      <c r="B15" s="38">
        <v>0</v>
      </c>
      <c r="C15" s="108">
        <v>0</v>
      </c>
      <c r="D15" s="38">
        <v>0</v>
      </c>
      <c r="E15" s="38">
        <v>0</v>
      </c>
      <c r="F15" s="38">
        <v>0</v>
      </c>
      <c r="G15" s="38">
        <v>0</v>
      </c>
      <c r="H15" s="3"/>
      <c r="I15" s="29">
        <f>B15/31</f>
        <v>0</v>
      </c>
      <c r="J15" s="29">
        <f t="shared" si="4"/>
        <v>0</v>
      </c>
      <c r="K15" s="29">
        <f t="shared" si="4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29"/>
      <c r="P15" s="29"/>
    </row>
    <row r="16" spans="1:16" x14ac:dyDescent="0.3">
      <c r="A16" s="71" t="s">
        <v>119</v>
      </c>
      <c r="B16" s="38">
        <v>0</v>
      </c>
      <c r="C16" s="108">
        <v>0</v>
      </c>
      <c r="D16" s="38">
        <v>0</v>
      </c>
      <c r="E16" s="38">
        <v>0</v>
      </c>
      <c r="F16" s="38">
        <v>0</v>
      </c>
      <c r="G16" s="38">
        <v>0</v>
      </c>
      <c r="H16" s="3"/>
      <c r="I16" s="29">
        <f>B16/31</f>
        <v>0</v>
      </c>
      <c r="J16" s="29">
        <f t="shared" si="4"/>
        <v>0</v>
      </c>
      <c r="K16" s="29">
        <f t="shared" si="4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/>
    </row>
    <row r="17" spans="1:15" x14ac:dyDescent="0.3">
      <c r="A17" s="71" t="s">
        <v>118</v>
      </c>
      <c r="B17" s="25">
        <f t="shared" ref="B17:G17" si="5">SUM(B4:B16)</f>
        <v>0</v>
      </c>
      <c r="C17" s="80">
        <f t="shared" si="5"/>
        <v>738</v>
      </c>
      <c r="D17" s="25">
        <f t="shared" si="5"/>
        <v>883</v>
      </c>
      <c r="E17" s="25">
        <f t="shared" si="5"/>
        <v>997</v>
      </c>
      <c r="F17" s="25">
        <f t="shared" si="5"/>
        <v>1085</v>
      </c>
      <c r="G17" s="25">
        <f t="shared" si="5"/>
        <v>1142</v>
      </c>
      <c r="H17" s="3"/>
      <c r="I17" s="29">
        <f t="shared" ref="I17:N17" si="6">SUM(I4:I16)</f>
        <v>0</v>
      </c>
      <c r="J17" s="29">
        <f t="shared" si="6"/>
        <v>28</v>
      </c>
      <c r="K17" s="29">
        <f t="shared" si="6"/>
        <v>33</v>
      </c>
      <c r="L17" s="29">
        <f t="shared" si="6"/>
        <v>37</v>
      </c>
      <c r="M17" s="29">
        <f t="shared" si="6"/>
        <v>40</v>
      </c>
      <c r="N17" s="29">
        <f t="shared" si="6"/>
        <v>42</v>
      </c>
      <c r="O17" s="29"/>
    </row>
    <row r="18" spans="1:15" x14ac:dyDescent="0.3">
      <c r="A18" s="70"/>
      <c r="B18" s="12"/>
      <c r="C18" s="104"/>
      <c r="D18" s="12"/>
      <c r="E18" s="12"/>
      <c r="F18" s="12"/>
      <c r="G18" s="12"/>
      <c r="H18" s="3"/>
      <c r="I18" s="29" t="b">
        <f>I17=B26</f>
        <v>1</v>
      </c>
      <c r="J18" s="29" t="b">
        <f t="shared" ref="J18:N18" si="7">J17=C26</f>
        <v>1</v>
      </c>
      <c r="K18" s="29" t="b">
        <f>K17=D26</f>
        <v>1</v>
      </c>
      <c r="L18" s="29" t="b">
        <f t="shared" si="7"/>
        <v>1</v>
      </c>
      <c r="M18" s="29" t="b">
        <f t="shared" si="7"/>
        <v>1</v>
      </c>
      <c r="N18" s="29" t="b">
        <f t="shared" si="7"/>
        <v>1</v>
      </c>
      <c r="O18" s="29"/>
    </row>
    <row r="19" spans="1:15" x14ac:dyDescent="0.3">
      <c r="A19" s="63" t="s">
        <v>117</v>
      </c>
      <c r="B19" s="62" t="str">
        <f t="shared" ref="B19:G19" si="8">B1</f>
        <v>19-20</v>
      </c>
      <c r="C19" s="109" t="str">
        <f t="shared" si="8"/>
        <v>20-21</v>
      </c>
      <c r="D19" s="62" t="str">
        <f t="shared" si="8"/>
        <v>21-22</v>
      </c>
      <c r="E19" s="62" t="str">
        <f t="shared" si="8"/>
        <v>22-23</v>
      </c>
      <c r="F19" s="62" t="str">
        <f t="shared" si="8"/>
        <v>23-24</v>
      </c>
      <c r="G19" s="62" t="str">
        <f t="shared" si="8"/>
        <v>24-25</v>
      </c>
      <c r="H19" s="3"/>
      <c r="I19" s="29"/>
      <c r="J19" s="29"/>
      <c r="K19" s="29"/>
      <c r="L19" s="29"/>
      <c r="M19" s="29"/>
      <c r="N19" s="29"/>
      <c r="O19" s="29"/>
    </row>
    <row r="20" spans="1:15" x14ac:dyDescent="0.3">
      <c r="A20" s="82" t="s">
        <v>116</v>
      </c>
      <c r="B20" s="12">
        <v>0</v>
      </c>
      <c r="C20" s="104">
        <v>58</v>
      </c>
      <c r="D20" s="12">
        <f>ROUND((C20/C17)*D17,0)</f>
        <v>69</v>
      </c>
      <c r="E20" s="12">
        <f>ROUND((D20/D17)*E17,0)</f>
        <v>78</v>
      </c>
      <c r="F20" s="12">
        <f>ROUND((E20/E17)*F17,0)</f>
        <v>85</v>
      </c>
      <c r="G20" s="12">
        <f>ROUND((F20/F17)*G17,0)</f>
        <v>89</v>
      </c>
      <c r="H20" s="3"/>
      <c r="I20" s="29"/>
      <c r="J20" s="29"/>
      <c r="K20" s="29"/>
      <c r="L20" s="29"/>
      <c r="M20" s="29"/>
      <c r="N20" s="29"/>
      <c r="O20" s="29"/>
    </row>
    <row r="21" spans="1:15" x14ac:dyDescent="0.3">
      <c r="A21" s="82" t="s">
        <v>115</v>
      </c>
      <c r="B21" s="12">
        <v>0</v>
      </c>
      <c r="C21" s="104">
        <v>0</v>
      </c>
      <c r="D21" s="12">
        <v>0</v>
      </c>
      <c r="E21" s="12">
        <v>0</v>
      </c>
      <c r="F21" s="12">
        <v>0</v>
      </c>
      <c r="G21" s="12">
        <v>0</v>
      </c>
      <c r="H21" s="3"/>
    </row>
    <row r="22" spans="1:15" x14ac:dyDescent="0.3">
      <c r="A22" s="82" t="s">
        <v>114</v>
      </c>
      <c r="B22" s="12">
        <v>0</v>
      </c>
      <c r="C22" s="104">
        <v>0</v>
      </c>
      <c r="D22" s="12">
        <v>0</v>
      </c>
      <c r="E22" s="12">
        <v>0</v>
      </c>
      <c r="F22" s="12">
        <v>0</v>
      </c>
      <c r="G22" s="12">
        <v>0</v>
      </c>
      <c r="H22" s="3"/>
    </row>
    <row r="23" spans="1:15" x14ac:dyDescent="0.3">
      <c r="A23" s="82" t="s">
        <v>113</v>
      </c>
      <c r="B23" s="12">
        <v>0</v>
      </c>
      <c r="C23" s="104">
        <v>0</v>
      </c>
      <c r="D23" s="12">
        <v>0</v>
      </c>
      <c r="E23" s="12">
        <v>0</v>
      </c>
      <c r="F23" s="12">
        <v>0</v>
      </c>
      <c r="G23" s="12">
        <v>0</v>
      </c>
      <c r="H23" s="3"/>
    </row>
    <row r="24" spans="1:15" x14ac:dyDescent="0.3">
      <c r="A24" s="69"/>
      <c r="B24" s="68"/>
      <c r="C24" s="110"/>
      <c r="D24" s="68"/>
      <c r="E24" s="68"/>
      <c r="F24" s="68"/>
      <c r="G24" s="68"/>
      <c r="H24" s="3"/>
    </row>
    <row r="25" spans="1:15" x14ac:dyDescent="0.3">
      <c r="A25" s="63" t="s">
        <v>112</v>
      </c>
      <c r="B25" s="62" t="str">
        <f t="shared" ref="B25:G25" si="9">B1</f>
        <v>19-20</v>
      </c>
      <c r="C25" s="109" t="str">
        <f t="shared" si="9"/>
        <v>20-21</v>
      </c>
      <c r="D25" s="62" t="str">
        <f t="shared" si="9"/>
        <v>21-22</v>
      </c>
      <c r="E25" s="62" t="str">
        <f t="shared" si="9"/>
        <v>22-23</v>
      </c>
      <c r="F25" s="62" t="str">
        <f t="shared" si="9"/>
        <v>23-24</v>
      </c>
      <c r="G25" s="62" t="str">
        <f t="shared" si="9"/>
        <v>24-25</v>
      </c>
      <c r="H25" s="3"/>
    </row>
    <row r="26" spans="1:15" x14ac:dyDescent="0.3">
      <c r="A26" s="60" t="s">
        <v>111</v>
      </c>
      <c r="B26" s="67">
        <v>0</v>
      </c>
      <c r="C26" s="111">
        <f>(SUM(C4:C5)/25)+(SUM(C6:C9)/26)+(SUM(C10:C12)/31)</f>
        <v>28</v>
      </c>
      <c r="D26" s="111">
        <f t="shared" ref="D26:G26" si="10">(SUM(D4:D5)/25)+(SUM(D6:D9)/26)+(SUM(D10:D12)/31)</f>
        <v>33</v>
      </c>
      <c r="E26" s="111">
        <f t="shared" si="10"/>
        <v>37</v>
      </c>
      <c r="F26" s="111">
        <f t="shared" si="10"/>
        <v>40</v>
      </c>
      <c r="G26" s="111">
        <f t="shared" si="10"/>
        <v>42</v>
      </c>
      <c r="H26" s="3"/>
      <c r="I26" s="29"/>
      <c r="J26" s="29"/>
    </row>
    <row r="27" spans="1:15" x14ac:dyDescent="0.3">
      <c r="A27" s="60" t="s">
        <v>64</v>
      </c>
      <c r="B27" s="67">
        <v>0</v>
      </c>
      <c r="C27" s="111">
        <v>3</v>
      </c>
      <c r="D27" s="67">
        <v>3.5</v>
      </c>
      <c r="E27" s="67">
        <v>4</v>
      </c>
      <c r="F27" s="67">
        <v>4</v>
      </c>
      <c r="G27" s="67">
        <v>4</v>
      </c>
      <c r="H27" s="3"/>
    </row>
    <row r="28" spans="1:15" x14ac:dyDescent="0.3">
      <c r="A28" s="60" t="s">
        <v>110</v>
      </c>
      <c r="B28" s="67">
        <v>0</v>
      </c>
      <c r="C28" s="111">
        <v>1</v>
      </c>
      <c r="D28" s="111">
        <v>1</v>
      </c>
      <c r="E28" s="111">
        <v>1</v>
      </c>
      <c r="F28" s="111">
        <v>1</v>
      </c>
      <c r="G28" s="111">
        <v>1</v>
      </c>
      <c r="H28" s="3"/>
    </row>
    <row r="29" spans="1:15" x14ac:dyDescent="0.3">
      <c r="A29" s="60" t="s">
        <v>109</v>
      </c>
      <c r="B29" s="67">
        <v>0</v>
      </c>
      <c r="C29" s="111">
        <v>1</v>
      </c>
      <c r="D29" s="111">
        <v>1</v>
      </c>
      <c r="E29" s="111">
        <v>1</v>
      </c>
      <c r="F29" s="111">
        <v>1</v>
      </c>
      <c r="G29" s="111">
        <v>1</v>
      </c>
      <c r="H29" s="3"/>
    </row>
    <row r="30" spans="1:15" x14ac:dyDescent="0.3">
      <c r="A30" s="60" t="s">
        <v>108</v>
      </c>
      <c r="B30" s="67">
        <v>0</v>
      </c>
      <c r="C30" s="111">
        <v>1</v>
      </c>
      <c r="D30" s="111">
        <v>1</v>
      </c>
      <c r="E30" s="111">
        <v>1</v>
      </c>
      <c r="F30" s="111">
        <v>1</v>
      </c>
      <c r="G30" s="111">
        <v>1</v>
      </c>
      <c r="H30" s="3"/>
    </row>
    <row r="31" spans="1:15" x14ac:dyDescent="0.3">
      <c r="A31" s="60" t="s">
        <v>107</v>
      </c>
      <c r="B31" s="67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3"/>
    </row>
    <row r="32" spans="1:15" x14ac:dyDescent="0.3">
      <c r="A32" s="66" t="s">
        <v>106</v>
      </c>
      <c r="B32" s="67">
        <v>0</v>
      </c>
      <c r="C32" s="111">
        <v>1</v>
      </c>
      <c r="D32" s="111">
        <v>1</v>
      </c>
      <c r="E32" s="111">
        <v>1</v>
      </c>
      <c r="F32" s="111">
        <v>1</v>
      </c>
      <c r="G32" s="111">
        <v>1</v>
      </c>
      <c r="H32" s="3"/>
    </row>
    <row r="33" spans="1:8" x14ac:dyDescent="0.3">
      <c r="A33" s="66" t="s">
        <v>105</v>
      </c>
      <c r="B33" s="67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3"/>
    </row>
    <row r="34" spans="1:8" x14ac:dyDescent="0.3">
      <c r="A34" s="66" t="s">
        <v>104</v>
      </c>
      <c r="B34" s="67">
        <v>0</v>
      </c>
      <c r="C34" s="111">
        <v>1</v>
      </c>
      <c r="D34" s="111">
        <v>1</v>
      </c>
      <c r="E34" s="111">
        <v>1</v>
      </c>
      <c r="F34" s="111">
        <v>1</v>
      </c>
      <c r="G34" s="111">
        <v>1</v>
      </c>
      <c r="H34" s="3"/>
    </row>
    <row r="35" spans="1:8" x14ac:dyDescent="0.3">
      <c r="A35" s="66" t="s">
        <v>103</v>
      </c>
      <c r="B35" s="67">
        <v>0</v>
      </c>
      <c r="C35" s="111">
        <v>0</v>
      </c>
      <c r="D35" s="67">
        <v>0</v>
      </c>
      <c r="E35" s="67">
        <v>1</v>
      </c>
      <c r="F35" s="67">
        <v>1</v>
      </c>
      <c r="G35" s="67">
        <v>1</v>
      </c>
      <c r="H35" s="3"/>
    </row>
    <row r="36" spans="1:8" x14ac:dyDescent="0.3">
      <c r="A36" s="42" t="s">
        <v>102</v>
      </c>
      <c r="B36" s="65">
        <f t="shared" ref="B36:G36" si="11">SUM(B26:B35)</f>
        <v>0</v>
      </c>
      <c r="C36" s="112">
        <f t="shared" si="11"/>
        <v>36</v>
      </c>
      <c r="D36" s="65">
        <f t="shared" si="11"/>
        <v>41.5</v>
      </c>
      <c r="E36" s="65">
        <f t="shared" si="11"/>
        <v>47</v>
      </c>
      <c r="F36" s="65">
        <f t="shared" si="11"/>
        <v>50</v>
      </c>
      <c r="G36" s="65">
        <f t="shared" si="11"/>
        <v>52</v>
      </c>
      <c r="H36" s="3"/>
    </row>
    <row r="37" spans="1:8" x14ac:dyDescent="0.3">
      <c r="A37" s="36"/>
      <c r="B37" s="64"/>
      <c r="C37" s="113"/>
      <c r="D37" s="64"/>
      <c r="E37" s="64"/>
      <c r="F37" s="64"/>
      <c r="G37" s="64"/>
      <c r="H37" s="3"/>
    </row>
    <row r="38" spans="1:8" x14ac:dyDescent="0.3">
      <c r="A38" s="63" t="s">
        <v>101</v>
      </c>
      <c r="B38" s="62" t="str">
        <f t="shared" ref="B38:G38" si="12">B1</f>
        <v>19-20</v>
      </c>
      <c r="C38" s="109" t="str">
        <f t="shared" si="12"/>
        <v>20-21</v>
      </c>
      <c r="D38" s="62" t="str">
        <f t="shared" si="12"/>
        <v>21-22</v>
      </c>
      <c r="E38" s="62" t="str">
        <f t="shared" si="12"/>
        <v>22-23</v>
      </c>
      <c r="F38" s="62" t="str">
        <f t="shared" si="12"/>
        <v>23-24</v>
      </c>
      <c r="G38" s="62" t="str">
        <f t="shared" si="12"/>
        <v>24-25</v>
      </c>
      <c r="H38" s="3"/>
    </row>
    <row r="39" spans="1:8" x14ac:dyDescent="0.3">
      <c r="A39" s="60" t="s">
        <v>100</v>
      </c>
      <c r="B39" s="67">
        <v>0</v>
      </c>
      <c r="C39" s="111">
        <v>0</v>
      </c>
      <c r="D39" s="67">
        <v>0</v>
      </c>
      <c r="E39" s="67">
        <v>0</v>
      </c>
      <c r="F39" s="67">
        <v>0</v>
      </c>
      <c r="G39" s="67">
        <v>0</v>
      </c>
      <c r="H39" s="3"/>
    </row>
    <row r="40" spans="1:8" x14ac:dyDescent="0.3">
      <c r="A40" s="60" t="s">
        <v>70</v>
      </c>
      <c r="B40" s="67">
        <v>0</v>
      </c>
      <c r="C40" s="111">
        <v>1</v>
      </c>
      <c r="D40" s="67">
        <v>1</v>
      </c>
      <c r="E40" s="67">
        <v>1</v>
      </c>
      <c r="F40" s="67">
        <v>1</v>
      </c>
      <c r="G40" s="67">
        <v>1</v>
      </c>
      <c r="H40" s="3"/>
    </row>
    <row r="41" spans="1:8" x14ac:dyDescent="0.3">
      <c r="A41" s="60" t="s">
        <v>99</v>
      </c>
      <c r="B41" s="67">
        <v>0</v>
      </c>
      <c r="C41" s="111">
        <v>1</v>
      </c>
      <c r="D41" s="67">
        <v>1</v>
      </c>
      <c r="E41" s="67">
        <v>2</v>
      </c>
      <c r="F41" s="67">
        <v>2</v>
      </c>
      <c r="G41" s="67">
        <v>2</v>
      </c>
      <c r="H41" s="3"/>
    </row>
    <row r="42" spans="1:8" x14ac:dyDescent="0.3">
      <c r="A42" s="61" t="s">
        <v>98</v>
      </c>
      <c r="B42" s="67">
        <v>0</v>
      </c>
      <c r="C42" s="111">
        <v>0</v>
      </c>
      <c r="D42" s="67">
        <v>0</v>
      </c>
      <c r="E42" s="67">
        <v>0</v>
      </c>
      <c r="F42" s="67">
        <v>0</v>
      </c>
      <c r="G42" s="67">
        <v>0</v>
      </c>
      <c r="H42" s="3"/>
    </row>
    <row r="43" spans="1:8" x14ac:dyDescent="0.3">
      <c r="A43" s="61" t="s">
        <v>97</v>
      </c>
      <c r="B43" s="67">
        <v>0</v>
      </c>
      <c r="C43" s="111">
        <v>0</v>
      </c>
      <c r="D43" s="67">
        <v>0</v>
      </c>
      <c r="E43" s="67">
        <v>1</v>
      </c>
      <c r="F43" s="67">
        <v>1</v>
      </c>
      <c r="G43" s="67">
        <v>1</v>
      </c>
      <c r="H43" s="3"/>
    </row>
    <row r="44" spans="1:8" x14ac:dyDescent="0.3">
      <c r="A44" s="61" t="s">
        <v>67</v>
      </c>
      <c r="B44" s="67">
        <v>0</v>
      </c>
      <c r="C44" s="111">
        <v>0</v>
      </c>
      <c r="D44" s="67">
        <v>1</v>
      </c>
      <c r="E44" s="67">
        <v>1</v>
      </c>
      <c r="F44" s="67">
        <v>1</v>
      </c>
      <c r="G44" s="67">
        <v>1</v>
      </c>
      <c r="H44" s="3"/>
    </row>
    <row r="45" spans="1:8" x14ac:dyDescent="0.3">
      <c r="A45" s="60" t="s">
        <v>96</v>
      </c>
      <c r="B45" s="67">
        <v>0</v>
      </c>
      <c r="C45" s="111">
        <v>1</v>
      </c>
      <c r="D45" s="67">
        <v>1</v>
      </c>
      <c r="E45" s="67">
        <v>1</v>
      </c>
      <c r="F45" s="67">
        <v>1</v>
      </c>
      <c r="G45" s="67">
        <v>1</v>
      </c>
      <c r="H45" s="3"/>
    </row>
    <row r="46" spans="1:8" x14ac:dyDescent="0.3">
      <c r="A46" s="60" t="s">
        <v>95</v>
      </c>
      <c r="B46" s="67">
        <v>0</v>
      </c>
      <c r="C46" s="111">
        <v>1</v>
      </c>
      <c r="D46" s="67">
        <v>1</v>
      </c>
      <c r="E46" s="67">
        <v>1</v>
      </c>
      <c r="F46" s="67">
        <v>1</v>
      </c>
      <c r="G46" s="67">
        <v>1</v>
      </c>
      <c r="H46" s="3"/>
    </row>
    <row r="47" spans="1:8" x14ac:dyDescent="0.3">
      <c r="A47" s="60" t="s">
        <v>94</v>
      </c>
      <c r="B47" s="67">
        <v>0</v>
      </c>
      <c r="C47" s="111">
        <v>1</v>
      </c>
      <c r="D47" s="67">
        <v>1</v>
      </c>
      <c r="E47" s="67">
        <v>1</v>
      </c>
      <c r="F47" s="67">
        <v>1</v>
      </c>
      <c r="G47" s="67">
        <v>1</v>
      </c>
      <c r="H47" s="3"/>
    </row>
    <row r="48" spans="1:8" x14ac:dyDescent="0.3">
      <c r="A48" s="60" t="s">
        <v>93</v>
      </c>
      <c r="B48" s="67">
        <v>0</v>
      </c>
      <c r="C48" s="111">
        <v>1</v>
      </c>
      <c r="D48" s="67">
        <v>1</v>
      </c>
      <c r="E48" s="67">
        <v>1</v>
      </c>
      <c r="F48" s="67">
        <v>1</v>
      </c>
      <c r="G48" s="67">
        <v>1</v>
      </c>
      <c r="H48" s="3"/>
    </row>
    <row r="49" spans="1:8" x14ac:dyDescent="0.3">
      <c r="A49" s="60" t="s">
        <v>152</v>
      </c>
      <c r="B49" s="67">
        <v>0</v>
      </c>
      <c r="C49" s="111">
        <v>4</v>
      </c>
      <c r="D49" s="67">
        <v>6</v>
      </c>
      <c r="E49" s="67">
        <v>7</v>
      </c>
      <c r="F49" s="67">
        <v>8</v>
      </c>
      <c r="G49" s="67">
        <v>9</v>
      </c>
      <c r="H49" s="3"/>
    </row>
    <row r="50" spans="1:8" x14ac:dyDescent="0.3">
      <c r="A50" s="60" t="s">
        <v>92</v>
      </c>
      <c r="B50" s="67">
        <v>0</v>
      </c>
      <c r="C50" s="111">
        <v>1.5</v>
      </c>
      <c r="D50" s="67">
        <v>2</v>
      </c>
      <c r="E50" s="67">
        <v>2</v>
      </c>
      <c r="F50" s="67">
        <v>2</v>
      </c>
      <c r="G50" s="67">
        <v>2</v>
      </c>
      <c r="H50" s="3"/>
    </row>
    <row r="51" spans="1:8" x14ac:dyDescent="0.3">
      <c r="A51" s="60" t="s">
        <v>91</v>
      </c>
      <c r="B51" s="67">
        <v>0</v>
      </c>
      <c r="C51" s="111">
        <v>0</v>
      </c>
      <c r="D51" s="67">
        <v>0</v>
      </c>
      <c r="E51" s="67">
        <v>0</v>
      </c>
      <c r="F51" s="67">
        <v>0</v>
      </c>
      <c r="G51" s="67">
        <v>0</v>
      </c>
      <c r="H51" s="3"/>
    </row>
    <row r="52" spans="1:8" x14ac:dyDescent="0.3">
      <c r="A52" s="19" t="s">
        <v>57</v>
      </c>
      <c r="B52" s="67">
        <v>0</v>
      </c>
      <c r="C52" s="111">
        <v>0</v>
      </c>
      <c r="D52" s="67">
        <v>0</v>
      </c>
      <c r="E52" s="67">
        <v>0</v>
      </c>
      <c r="F52" s="67">
        <v>0</v>
      </c>
      <c r="G52" s="67">
        <v>0</v>
      </c>
      <c r="H52" s="3"/>
    </row>
    <row r="53" spans="1:8" x14ac:dyDescent="0.3">
      <c r="A53" s="19" t="s">
        <v>56</v>
      </c>
      <c r="B53" s="67">
        <v>0</v>
      </c>
      <c r="C53" s="111">
        <v>0</v>
      </c>
      <c r="D53" s="67">
        <v>0</v>
      </c>
      <c r="E53" s="67">
        <v>0</v>
      </c>
      <c r="F53" s="67">
        <v>0</v>
      </c>
      <c r="G53" s="67">
        <v>0</v>
      </c>
      <c r="H53" s="3"/>
    </row>
    <row r="54" spans="1:8" x14ac:dyDescent="0.3">
      <c r="A54" s="19" t="s">
        <v>55</v>
      </c>
      <c r="B54" s="67">
        <v>0</v>
      </c>
      <c r="C54" s="111">
        <v>0</v>
      </c>
      <c r="D54" s="67">
        <v>0</v>
      </c>
      <c r="E54" s="67">
        <v>0</v>
      </c>
      <c r="F54" s="67">
        <v>0</v>
      </c>
      <c r="G54" s="67">
        <v>0</v>
      </c>
      <c r="H54" s="3"/>
    </row>
    <row r="55" spans="1:8" x14ac:dyDescent="0.3">
      <c r="A55" s="19" t="s">
        <v>54</v>
      </c>
      <c r="B55" s="67">
        <v>0</v>
      </c>
      <c r="C55" s="111">
        <v>0</v>
      </c>
      <c r="D55" s="67">
        <v>0</v>
      </c>
      <c r="E55" s="67">
        <v>0</v>
      </c>
      <c r="F55" s="67">
        <v>0</v>
      </c>
      <c r="G55" s="67">
        <v>0</v>
      </c>
      <c r="H55" s="3"/>
    </row>
    <row r="56" spans="1:8" x14ac:dyDescent="0.3">
      <c r="A56" s="19" t="s">
        <v>90</v>
      </c>
      <c r="B56" s="67">
        <v>0</v>
      </c>
      <c r="C56" s="111">
        <v>0</v>
      </c>
      <c r="D56" s="67">
        <v>0</v>
      </c>
      <c r="E56" s="67">
        <v>0</v>
      </c>
      <c r="F56" s="67">
        <v>0</v>
      </c>
      <c r="G56" s="67">
        <v>0</v>
      </c>
      <c r="H56" s="3"/>
    </row>
    <row r="57" spans="1:8" x14ac:dyDescent="0.3">
      <c r="A57" s="59"/>
      <c r="B57" s="58"/>
      <c r="C57" s="114"/>
      <c r="D57" s="58"/>
      <c r="E57" s="58"/>
      <c r="F57" s="58"/>
      <c r="G57" s="58"/>
      <c r="H57" s="3"/>
    </row>
    <row r="58" spans="1:8" x14ac:dyDescent="0.3">
      <c r="A58" s="42" t="s">
        <v>89</v>
      </c>
      <c r="B58" s="57">
        <f t="shared" ref="B58:G58" si="13">SUM(B39:B57)</f>
        <v>0</v>
      </c>
      <c r="C58" s="115">
        <f t="shared" si="13"/>
        <v>11.5</v>
      </c>
      <c r="D58" s="57">
        <f t="shared" si="13"/>
        <v>15</v>
      </c>
      <c r="E58" s="57">
        <f t="shared" si="13"/>
        <v>18</v>
      </c>
      <c r="F58" s="57">
        <f t="shared" si="13"/>
        <v>19</v>
      </c>
      <c r="G58" s="57">
        <f t="shared" si="13"/>
        <v>20</v>
      </c>
      <c r="H58" s="3"/>
    </row>
    <row r="59" spans="1:8" x14ac:dyDescent="0.3">
      <c r="A59" s="56"/>
      <c r="B59" s="55"/>
      <c r="C59" s="116"/>
      <c r="D59" s="55"/>
      <c r="E59" s="55"/>
      <c r="F59" s="55"/>
      <c r="G59" s="55"/>
      <c r="H59" s="3"/>
    </row>
    <row r="60" spans="1:8" x14ac:dyDescent="0.3">
      <c r="A60" s="54" t="s">
        <v>88</v>
      </c>
      <c r="B60" s="53">
        <f t="shared" ref="B60:G60" si="14">B36</f>
        <v>0</v>
      </c>
      <c r="C60" s="117">
        <f t="shared" si="14"/>
        <v>36</v>
      </c>
      <c r="D60" s="53">
        <f t="shared" si="14"/>
        <v>41.5</v>
      </c>
      <c r="E60" s="53">
        <f t="shared" si="14"/>
        <v>47</v>
      </c>
      <c r="F60" s="53">
        <f t="shared" si="14"/>
        <v>50</v>
      </c>
      <c r="G60" s="53">
        <f t="shared" si="14"/>
        <v>52</v>
      </c>
      <c r="H60" s="3"/>
    </row>
    <row r="61" spans="1:8" ht="15" thickBot="1" x14ac:dyDescent="0.35">
      <c r="A61" s="52" t="s">
        <v>87</v>
      </c>
      <c r="B61" s="51">
        <f t="shared" ref="B61:G61" si="15">B58</f>
        <v>0</v>
      </c>
      <c r="C61" s="118">
        <f t="shared" si="15"/>
        <v>11.5</v>
      </c>
      <c r="D61" s="51">
        <f t="shared" si="15"/>
        <v>15</v>
      </c>
      <c r="E61" s="51">
        <f t="shared" si="15"/>
        <v>18</v>
      </c>
      <c r="F61" s="51">
        <f t="shared" si="15"/>
        <v>19</v>
      </c>
      <c r="G61" s="51">
        <f t="shared" si="15"/>
        <v>20</v>
      </c>
      <c r="H61" s="3"/>
    </row>
    <row r="62" spans="1:8" x14ac:dyDescent="0.3">
      <c r="A62" s="50" t="s">
        <v>86</v>
      </c>
      <c r="B62" s="49">
        <f t="shared" ref="B62:G62" si="16">SUM(B60:B61)</f>
        <v>0</v>
      </c>
      <c r="C62" s="119">
        <f t="shared" si="16"/>
        <v>47.5</v>
      </c>
      <c r="D62" s="49">
        <f t="shared" si="16"/>
        <v>56.5</v>
      </c>
      <c r="E62" s="49">
        <f t="shared" si="16"/>
        <v>65</v>
      </c>
      <c r="F62" s="49">
        <f t="shared" si="16"/>
        <v>69</v>
      </c>
      <c r="G62" s="49">
        <f t="shared" si="16"/>
        <v>72</v>
      </c>
      <c r="H62" s="3"/>
    </row>
    <row r="63" spans="1:8" x14ac:dyDescent="0.3">
      <c r="A63" s="19"/>
      <c r="B63" s="48"/>
      <c r="C63" s="120"/>
      <c r="D63" s="48"/>
      <c r="E63" s="48"/>
      <c r="F63" s="48"/>
      <c r="G63" s="48"/>
      <c r="H63" s="3"/>
    </row>
    <row r="64" spans="1:8" x14ac:dyDescent="0.3">
      <c r="A64" s="47" t="s">
        <v>85</v>
      </c>
      <c r="B64" s="81"/>
      <c r="C64" s="121">
        <f>C113/(C158+C161+C162+C163)</f>
        <v>0.5789485592497241</v>
      </c>
      <c r="D64" s="81">
        <f t="shared" ref="D64:G64" si="17">D113/(D158+D161+D162+D163)</f>
        <v>0.56726703100657094</v>
      </c>
      <c r="E64" s="81">
        <f t="shared" si="17"/>
        <v>0.57661755219500122</v>
      </c>
      <c r="F64" s="81">
        <f t="shared" si="17"/>
        <v>0.56799400148986556</v>
      </c>
      <c r="G64" s="81">
        <f t="shared" si="17"/>
        <v>0.57396971736869951</v>
      </c>
      <c r="H64" s="3"/>
    </row>
    <row r="65" spans="1:10" x14ac:dyDescent="0.3">
      <c r="A65" s="36" t="s">
        <v>84</v>
      </c>
      <c r="B65" s="46"/>
      <c r="C65" s="122">
        <f t="shared" ref="C65:G65" si="18">(C91+C92)/C107</f>
        <v>0.78317093160914308</v>
      </c>
      <c r="D65" s="46">
        <f t="shared" si="18"/>
        <v>0.7703388857467266</v>
      </c>
      <c r="E65" s="46">
        <f t="shared" si="18"/>
        <v>0.74990831936259683</v>
      </c>
      <c r="F65" s="46">
        <f t="shared" si="18"/>
        <v>0.75640754924541642</v>
      </c>
      <c r="G65" s="46">
        <f t="shared" si="18"/>
        <v>0.7586806935734064</v>
      </c>
      <c r="H65" s="3"/>
    </row>
    <row r="66" spans="1:10" x14ac:dyDescent="0.3">
      <c r="A66" s="47" t="s">
        <v>83</v>
      </c>
      <c r="B66" s="81"/>
      <c r="C66" s="121">
        <f t="shared" ref="C66:G66" si="19">(C86+C87+C88+C89+C90+C93+C94+C95+C96+C100+C101+C102+C103+C106+C104+C105)/C107</f>
        <v>0.21682906839085694</v>
      </c>
      <c r="D66" s="81">
        <f t="shared" si="19"/>
        <v>0.2296611142532734</v>
      </c>
      <c r="E66" s="81">
        <f t="shared" si="19"/>
        <v>0.25009168063740311</v>
      </c>
      <c r="F66" s="81">
        <f t="shared" si="19"/>
        <v>0.24359245075458349</v>
      </c>
      <c r="G66" s="81">
        <f t="shared" si="19"/>
        <v>0.24131930642659355</v>
      </c>
      <c r="H66" s="3"/>
    </row>
    <row r="67" spans="1:10" x14ac:dyDescent="0.3">
      <c r="A67" s="36" t="s">
        <v>82</v>
      </c>
      <c r="B67" s="46"/>
      <c r="C67" s="122">
        <f t="shared" ref="C67:G67" si="20">(C161+C162+C163)/(C158+C161+C162+C163)</f>
        <v>0.1695369339053456</v>
      </c>
      <c r="D67" s="46">
        <f t="shared" si="20"/>
        <v>0.17701664919500318</v>
      </c>
      <c r="E67" s="46">
        <f t="shared" si="20"/>
        <v>0.17954957507171929</v>
      </c>
      <c r="F67" s="46">
        <f t="shared" si="20"/>
        <v>0.18989843080837865</v>
      </c>
      <c r="G67" s="46">
        <f t="shared" si="20"/>
        <v>0.19205659354859328</v>
      </c>
      <c r="H67" s="3"/>
    </row>
    <row r="68" spans="1:10" x14ac:dyDescent="0.3">
      <c r="A68" s="45"/>
      <c r="B68" s="44"/>
      <c r="C68" s="123"/>
      <c r="D68" s="44"/>
      <c r="E68" s="44"/>
      <c r="F68" s="44"/>
      <c r="G68" s="44"/>
      <c r="H68" s="3"/>
    </row>
    <row r="69" spans="1:10" x14ac:dyDescent="0.3">
      <c r="A69" s="37"/>
      <c r="B69" s="10"/>
      <c r="C69" s="124"/>
      <c r="D69" s="10"/>
      <c r="E69" s="10"/>
      <c r="F69" s="10"/>
      <c r="G69" s="10"/>
      <c r="H69" s="3"/>
    </row>
    <row r="70" spans="1:10" x14ac:dyDescent="0.3">
      <c r="A70" s="36" t="s">
        <v>81</v>
      </c>
      <c r="B70" s="43"/>
      <c r="C70" s="125"/>
      <c r="D70" s="43"/>
      <c r="E70" s="43"/>
      <c r="F70" s="43"/>
      <c r="G70" s="43"/>
      <c r="H70" s="3"/>
    </row>
    <row r="71" spans="1:10" x14ac:dyDescent="0.3">
      <c r="A71" s="41" t="s">
        <v>80</v>
      </c>
      <c r="B71" s="20">
        <v>0</v>
      </c>
      <c r="C71" s="126">
        <f t="shared" ref="C71:G71" si="21">(C2*C3)*0.95</f>
        <v>5110952.0982335983</v>
      </c>
      <c r="D71" s="20">
        <f t="shared" si="21"/>
        <v>6194633.2274741065</v>
      </c>
      <c r="E71" s="20">
        <f t="shared" si="21"/>
        <v>7085320.4632536527</v>
      </c>
      <c r="F71" s="20">
        <f t="shared" si="21"/>
        <v>7810943.9797035148</v>
      </c>
      <c r="G71" s="20">
        <f t="shared" si="21"/>
        <v>8328165.2526673647</v>
      </c>
      <c r="H71" s="3"/>
    </row>
    <row r="72" spans="1:10" x14ac:dyDescent="0.3">
      <c r="A72" s="19" t="s">
        <v>153</v>
      </c>
      <c r="B72" s="20">
        <v>0</v>
      </c>
      <c r="C72" s="126">
        <v>0</v>
      </c>
      <c r="D72" s="20">
        <v>0</v>
      </c>
      <c r="E72" s="20">
        <v>0</v>
      </c>
      <c r="F72" s="20">
        <v>0</v>
      </c>
      <c r="G72" s="12">
        <v>0</v>
      </c>
      <c r="H72" s="3"/>
      <c r="J72" s="1" t="s">
        <v>79</v>
      </c>
    </row>
    <row r="73" spans="1:10" x14ac:dyDescent="0.3">
      <c r="A73" s="19" t="s">
        <v>78</v>
      </c>
      <c r="B73" s="20">
        <f>950*B20</f>
        <v>0</v>
      </c>
      <c r="C73" s="126">
        <v>43500</v>
      </c>
      <c r="D73" s="20">
        <f t="shared" ref="D73:G73" si="22">950*D20</f>
        <v>65550</v>
      </c>
      <c r="E73" s="20">
        <f t="shared" si="22"/>
        <v>74100</v>
      </c>
      <c r="F73" s="20">
        <f t="shared" si="22"/>
        <v>80750</v>
      </c>
      <c r="G73" s="20">
        <f t="shared" si="22"/>
        <v>84550</v>
      </c>
      <c r="H73" s="3"/>
    </row>
    <row r="74" spans="1:10" x14ac:dyDescent="0.3">
      <c r="A74" s="19" t="s">
        <v>74</v>
      </c>
      <c r="B74" s="20">
        <f>3300*B20</f>
        <v>0</v>
      </c>
      <c r="C74" s="126">
        <v>0</v>
      </c>
      <c r="D74" s="20">
        <f t="shared" ref="D74:G74" si="23">3300*D20</f>
        <v>227700</v>
      </c>
      <c r="E74" s="20">
        <f t="shared" si="23"/>
        <v>257400</v>
      </c>
      <c r="F74" s="20">
        <f t="shared" si="23"/>
        <v>280500</v>
      </c>
      <c r="G74" s="20">
        <f t="shared" si="23"/>
        <v>293700</v>
      </c>
      <c r="H74" s="3"/>
    </row>
    <row r="75" spans="1:10" x14ac:dyDescent="0.3">
      <c r="A75" s="40" t="s">
        <v>133</v>
      </c>
      <c r="B75" s="20">
        <v>0</v>
      </c>
      <c r="C75" s="126">
        <v>0</v>
      </c>
      <c r="D75" s="20">
        <v>0</v>
      </c>
      <c r="E75" s="20">
        <v>0</v>
      </c>
      <c r="F75" s="20">
        <v>0</v>
      </c>
      <c r="G75" s="12">
        <v>0</v>
      </c>
      <c r="H75" s="3"/>
    </row>
    <row r="76" spans="1:10" x14ac:dyDescent="0.3">
      <c r="A76" s="42" t="s">
        <v>77</v>
      </c>
      <c r="B76" s="25">
        <f t="shared" ref="B76:F76" si="24">SUM(B71:B75)</f>
        <v>0</v>
      </c>
      <c r="C76" s="80">
        <f t="shared" si="24"/>
        <v>5154452.0982335983</v>
      </c>
      <c r="D76" s="25">
        <f t="shared" si="24"/>
        <v>6487883.2274741065</v>
      </c>
      <c r="E76" s="25">
        <f t="shared" si="24"/>
        <v>7416820.4632536527</v>
      </c>
      <c r="F76" s="25">
        <f t="shared" si="24"/>
        <v>8172193.9797035148</v>
      </c>
      <c r="G76" s="25">
        <f>SUM(G71:G75)</f>
        <v>8706415.2526673637</v>
      </c>
      <c r="H76" s="3"/>
    </row>
    <row r="77" spans="1:10" x14ac:dyDescent="0.3">
      <c r="A77" s="41" t="s">
        <v>76</v>
      </c>
      <c r="B77" s="20">
        <v>0</v>
      </c>
      <c r="C77" s="126">
        <f t="shared" ref="C77:G77" si="25">(C2*C3)</f>
        <v>5379949.5770879984</v>
      </c>
      <c r="D77" s="20">
        <f t="shared" si="25"/>
        <v>6520666.5552359018</v>
      </c>
      <c r="E77" s="20">
        <f t="shared" si="25"/>
        <v>7458232.0665827924</v>
      </c>
      <c r="F77" s="20">
        <f t="shared" si="25"/>
        <v>8222046.2944247527</v>
      </c>
      <c r="G77" s="20">
        <f t="shared" si="25"/>
        <v>8766489.7396498583</v>
      </c>
      <c r="H77" s="3"/>
    </row>
    <row r="78" spans="1:10" x14ac:dyDescent="0.3">
      <c r="A78" s="19" t="s">
        <v>153</v>
      </c>
      <c r="B78" s="20">
        <f>B72</f>
        <v>0</v>
      </c>
      <c r="C78" s="126">
        <f t="shared" ref="C78:G78" si="26">C72</f>
        <v>0</v>
      </c>
      <c r="D78" s="20">
        <f t="shared" si="26"/>
        <v>0</v>
      </c>
      <c r="E78" s="20">
        <f t="shared" si="26"/>
        <v>0</v>
      </c>
      <c r="F78" s="20">
        <f t="shared" si="26"/>
        <v>0</v>
      </c>
      <c r="G78" s="20">
        <f t="shared" si="26"/>
        <v>0</v>
      </c>
      <c r="H78" s="3"/>
    </row>
    <row r="79" spans="1:10" x14ac:dyDescent="0.3">
      <c r="A79" s="19" t="s">
        <v>75</v>
      </c>
      <c r="B79" s="20">
        <f t="shared" ref="B79:G81" si="27">B73</f>
        <v>0</v>
      </c>
      <c r="C79" s="126">
        <f t="shared" si="27"/>
        <v>43500</v>
      </c>
      <c r="D79" s="20">
        <f t="shared" si="27"/>
        <v>65550</v>
      </c>
      <c r="E79" s="20">
        <f t="shared" si="27"/>
        <v>74100</v>
      </c>
      <c r="F79" s="20">
        <f t="shared" si="27"/>
        <v>80750</v>
      </c>
      <c r="G79" s="20">
        <f t="shared" si="27"/>
        <v>84550</v>
      </c>
      <c r="H79" s="3"/>
    </row>
    <row r="80" spans="1:10" x14ac:dyDescent="0.3">
      <c r="A80" s="19" t="s">
        <v>74</v>
      </c>
      <c r="B80" s="20">
        <f t="shared" si="27"/>
        <v>0</v>
      </c>
      <c r="C80" s="126">
        <f t="shared" si="27"/>
        <v>0</v>
      </c>
      <c r="D80" s="20">
        <f t="shared" si="27"/>
        <v>227700</v>
      </c>
      <c r="E80" s="20">
        <f t="shared" si="27"/>
        <v>257400</v>
      </c>
      <c r="F80" s="20">
        <f t="shared" si="27"/>
        <v>280500</v>
      </c>
      <c r="G80" s="20">
        <f t="shared" si="27"/>
        <v>293700</v>
      </c>
      <c r="H80" s="3"/>
    </row>
    <row r="81" spans="1:10" x14ac:dyDescent="0.3">
      <c r="A81" s="40" t="s">
        <v>133</v>
      </c>
      <c r="B81" s="20">
        <f t="shared" si="27"/>
        <v>0</v>
      </c>
      <c r="C81" s="126">
        <f t="shared" si="27"/>
        <v>0</v>
      </c>
      <c r="D81" s="20">
        <f t="shared" si="27"/>
        <v>0</v>
      </c>
      <c r="E81" s="20">
        <f t="shared" si="27"/>
        <v>0</v>
      </c>
      <c r="F81" s="20">
        <f t="shared" si="27"/>
        <v>0</v>
      </c>
      <c r="G81" s="20">
        <f t="shared" si="27"/>
        <v>0</v>
      </c>
      <c r="H81" s="3"/>
    </row>
    <row r="82" spans="1:10" x14ac:dyDescent="0.3">
      <c r="A82" s="39" t="s">
        <v>73</v>
      </c>
      <c r="B82" s="25">
        <f t="shared" ref="B82:F82" si="28">SUM(B77:B81)</f>
        <v>0</v>
      </c>
      <c r="C82" s="80">
        <f t="shared" si="28"/>
        <v>5423449.5770879984</v>
      </c>
      <c r="D82" s="25">
        <f t="shared" si="28"/>
        <v>6813916.5552359018</v>
      </c>
      <c r="E82" s="25">
        <f t="shared" si="28"/>
        <v>7789732.0665827924</v>
      </c>
      <c r="F82" s="25">
        <f t="shared" si="28"/>
        <v>8583296.2944247536</v>
      </c>
      <c r="G82" s="25">
        <f>SUM(G77:G81)</f>
        <v>9144739.7396498583</v>
      </c>
      <c r="H82" s="3"/>
    </row>
    <row r="83" spans="1:10" x14ac:dyDescent="0.3">
      <c r="A83" s="37"/>
      <c r="B83" s="10"/>
      <c r="C83" s="124"/>
      <c r="D83" s="10"/>
      <c r="E83" s="10"/>
      <c r="F83" s="10"/>
      <c r="G83" s="10"/>
      <c r="H83" s="3"/>
    </row>
    <row r="84" spans="1:10" x14ac:dyDescent="0.3">
      <c r="A84" s="36" t="s">
        <v>72</v>
      </c>
      <c r="B84" s="35"/>
      <c r="C84" s="127"/>
      <c r="D84" s="35"/>
      <c r="E84" s="35"/>
      <c r="F84" s="35"/>
      <c r="G84" s="35"/>
      <c r="H84" s="3"/>
    </row>
    <row r="85" spans="1:10" x14ac:dyDescent="0.3">
      <c r="A85" s="34" t="s">
        <v>71</v>
      </c>
      <c r="B85" s="23" t="str">
        <f t="shared" ref="B85:G85" si="29">B1</f>
        <v>19-20</v>
      </c>
      <c r="C85" s="128" t="str">
        <f t="shared" si="29"/>
        <v>20-21</v>
      </c>
      <c r="D85" s="23" t="str">
        <f t="shared" si="29"/>
        <v>21-22</v>
      </c>
      <c r="E85" s="23" t="str">
        <f t="shared" si="29"/>
        <v>22-23</v>
      </c>
      <c r="F85" s="23" t="str">
        <f t="shared" si="29"/>
        <v>23-24</v>
      </c>
      <c r="G85" s="23" t="str">
        <f t="shared" si="29"/>
        <v>24-25</v>
      </c>
      <c r="H85" s="3"/>
    </row>
    <row r="86" spans="1:10" x14ac:dyDescent="0.3">
      <c r="A86" s="19" t="s">
        <v>70</v>
      </c>
      <c r="B86" s="20">
        <v>0</v>
      </c>
      <c r="C86" s="126">
        <f>110000</f>
        <v>110000</v>
      </c>
      <c r="D86" s="20">
        <f t="shared" ref="D86:G90" si="30">C86*1.015</f>
        <v>111649.99999999999</v>
      </c>
      <c r="E86" s="20">
        <f t="shared" si="30"/>
        <v>113324.74999999997</v>
      </c>
      <c r="F86" s="20">
        <f t="shared" si="30"/>
        <v>115024.62124999995</v>
      </c>
      <c r="G86" s="20">
        <f t="shared" si="30"/>
        <v>116749.99056874994</v>
      </c>
      <c r="H86" s="3"/>
      <c r="J86" s="29"/>
    </row>
    <row r="87" spans="1:10" x14ac:dyDescent="0.3">
      <c r="A87" s="19" t="s">
        <v>69</v>
      </c>
      <c r="B87" s="20">
        <v>0</v>
      </c>
      <c r="C87" s="126">
        <f>70000</f>
        <v>70000</v>
      </c>
      <c r="D87" s="20">
        <f t="shared" si="30"/>
        <v>71050</v>
      </c>
      <c r="E87" s="20">
        <f>(D87*1.015)*2</f>
        <v>144231.5</v>
      </c>
      <c r="F87" s="20">
        <f t="shared" si="30"/>
        <v>146394.97249999997</v>
      </c>
      <c r="G87" s="20">
        <f t="shared" si="30"/>
        <v>148590.89708749996</v>
      </c>
      <c r="H87" s="3"/>
      <c r="J87" s="29"/>
    </row>
    <row r="88" spans="1:10" x14ac:dyDescent="0.3">
      <c r="A88" s="19" t="s">
        <v>68</v>
      </c>
      <c r="B88" s="20">
        <v>0</v>
      </c>
      <c r="C88" s="126">
        <v>0</v>
      </c>
      <c r="D88" s="20">
        <f t="shared" si="30"/>
        <v>0</v>
      </c>
      <c r="E88" s="20">
        <f t="shared" si="30"/>
        <v>0</v>
      </c>
      <c r="F88" s="20">
        <f t="shared" si="30"/>
        <v>0</v>
      </c>
      <c r="G88" s="20">
        <f t="shared" si="30"/>
        <v>0</v>
      </c>
      <c r="H88" s="3"/>
      <c r="J88" s="29"/>
    </row>
    <row r="89" spans="1:10" x14ac:dyDescent="0.3">
      <c r="A89" s="19" t="s">
        <v>67</v>
      </c>
      <c r="B89" s="20">
        <v>0</v>
      </c>
      <c r="C89" s="126">
        <v>0</v>
      </c>
      <c r="D89" s="20">
        <f>55000*D44</f>
        <v>55000</v>
      </c>
      <c r="E89" s="20">
        <f t="shared" si="30"/>
        <v>55824.999999999993</v>
      </c>
      <c r="F89" s="20">
        <f t="shared" si="30"/>
        <v>56662.374999999985</v>
      </c>
      <c r="G89" s="20">
        <f t="shared" si="30"/>
        <v>57512.310624999976</v>
      </c>
      <c r="H89" s="3"/>
      <c r="J89" s="29"/>
    </row>
    <row r="90" spans="1:10" x14ac:dyDescent="0.3">
      <c r="A90" s="19" t="s">
        <v>66</v>
      </c>
      <c r="B90" s="20">
        <v>0</v>
      </c>
      <c r="C90" s="126">
        <v>0</v>
      </c>
      <c r="D90" s="20">
        <f t="shared" si="30"/>
        <v>0</v>
      </c>
      <c r="E90" s="20">
        <f>55000*E43</f>
        <v>55000</v>
      </c>
      <c r="F90" s="20">
        <f>E90*1.015</f>
        <v>55824.999999999993</v>
      </c>
      <c r="G90" s="20">
        <f t="shared" si="30"/>
        <v>56662.374999999985</v>
      </c>
      <c r="H90" s="3"/>
      <c r="J90" s="29"/>
    </row>
    <row r="91" spans="1:10" x14ac:dyDescent="0.3">
      <c r="A91" s="19" t="s">
        <v>65</v>
      </c>
      <c r="B91" s="20">
        <f>(B36-B27)*42000</f>
        <v>0</v>
      </c>
      <c r="C91" s="126">
        <f>(C36-C27)*43000</f>
        <v>1419000</v>
      </c>
      <c r="D91" s="20">
        <f>(D36-D27)*43650</f>
        <v>1658700</v>
      </c>
      <c r="E91" s="20">
        <f>(E36-E27)*44310</f>
        <v>1905330</v>
      </c>
      <c r="F91" s="20">
        <f>(F36-F27)*45000</f>
        <v>2070000</v>
      </c>
      <c r="G91" s="20">
        <f>(G36-G27)*45675</f>
        <v>2192400</v>
      </c>
      <c r="H91" s="3"/>
      <c r="J91" s="29"/>
    </row>
    <row r="92" spans="1:10" x14ac:dyDescent="0.3">
      <c r="A92" s="19" t="s">
        <v>64</v>
      </c>
      <c r="B92" s="20">
        <f>B27*42000</f>
        <v>0</v>
      </c>
      <c r="C92" s="126">
        <f>C27*43000</f>
        <v>129000</v>
      </c>
      <c r="D92" s="20">
        <f>D27*43650</f>
        <v>152775</v>
      </c>
      <c r="E92" s="20">
        <f>E27*44310</f>
        <v>177240</v>
      </c>
      <c r="F92" s="20">
        <f>F27*45000</f>
        <v>180000</v>
      </c>
      <c r="G92" s="20">
        <f>G27*45675</f>
        <v>182700</v>
      </c>
      <c r="H92" s="3"/>
      <c r="J92" s="29"/>
    </row>
    <row r="93" spans="1:10" x14ac:dyDescent="0.3">
      <c r="A93" s="19" t="s">
        <v>63</v>
      </c>
      <c r="B93" s="20">
        <v>0</v>
      </c>
      <c r="C93" s="126">
        <f>((45000+36000))</f>
        <v>81000</v>
      </c>
      <c r="D93" s="20">
        <f>C93*1.015</f>
        <v>82214.999999999985</v>
      </c>
      <c r="E93" s="20">
        <f t="shared" ref="E93:G93" si="31">D93*1.015</f>
        <v>83448.224999999977</v>
      </c>
      <c r="F93" s="20">
        <f t="shared" si="31"/>
        <v>84699.948374999964</v>
      </c>
      <c r="G93" s="20">
        <f t="shared" si="31"/>
        <v>85970.447600624961</v>
      </c>
      <c r="H93" s="3"/>
      <c r="J93" s="29"/>
    </row>
    <row r="94" spans="1:10" x14ac:dyDescent="0.3">
      <c r="A94" s="19" t="s">
        <v>62</v>
      </c>
      <c r="B94" s="20">
        <f>(13*8*180)*(B47+B48)</f>
        <v>0</v>
      </c>
      <c r="C94" s="126">
        <f>(12.75*8*180)*(C47+C48)</f>
        <v>36720</v>
      </c>
      <c r="D94" s="126">
        <f>(13*8*180)*(D47+D48)</f>
        <v>37440</v>
      </c>
      <c r="E94" s="126">
        <f>(13.25*8*180)*(E47+E48)</f>
        <v>38160</v>
      </c>
      <c r="F94" s="126">
        <f>(13.5*8*180)*(F47+F48)</f>
        <v>38880</v>
      </c>
      <c r="G94" s="126">
        <f>(13.75*8*180)*(G47+G48)</f>
        <v>39600</v>
      </c>
      <c r="H94" s="3"/>
      <c r="J94" s="29"/>
    </row>
    <row r="95" spans="1:10" x14ac:dyDescent="0.3">
      <c r="A95" s="19" t="s">
        <v>61</v>
      </c>
      <c r="B95" s="20">
        <f>(12*8*180)*B49</f>
        <v>0</v>
      </c>
      <c r="C95" s="126">
        <f>(12.5*8*180)*C49</f>
        <v>72000</v>
      </c>
      <c r="D95" s="126">
        <f>(12.75*8*180)*D49</f>
        <v>110160</v>
      </c>
      <c r="E95" s="126">
        <f>(13*8*180)*E49</f>
        <v>131040</v>
      </c>
      <c r="F95" s="126">
        <f>(13.25*8*180)*F49</f>
        <v>152640</v>
      </c>
      <c r="G95" s="126">
        <f>(13.5*8*180)*G49</f>
        <v>174960</v>
      </c>
      <c r="H95" s="3"/>
      <c r="J95" s="29"/>
    </row>
    <row r="96" spans="1:10" x14ac:dyDescent="0.3">
      <c r="A96" s="19" t="s">
        <v>60</v>
      </c>
      <c r="B96" s="20">
        <f>(12*8*240)*B50</f>
        <v>0</v>
      </c>
      <c r="C96" s="126">
        <f>(13.25*8*240)*C50</f>
        <v>38160</v>
      </c>
      <c r="D96" s="126">
        <f>(13.5*8*240)*D50</f>
        <v>51840</v>
      </c>
      <c r="E96" s="126">
        <f>(13.75*8*240)*E50</f>
        <v>52800</v>
      </c>
      <c r="F96" s="126">
        <f>(14*8*240)*F50</f>
        <v>53760</v>
      </c>
      <c r="G96" s="126">
        <f>(14.25*8*240)*G50</f>
        <v>54720</v>
      </c>
      <c r="H96" s="3"/>
      <c r="J96" s="29"/>
    </row>
    <row r="97" spans="1:12" x14ac:dyDescent="0.3">
      <c r="A97" s="32" t="s">
        <v>59</v>
      </c>
      <c r="B97" s="33">
        <f t="shared" ref="B97:G97" si="32">SUM(B86:B96)</f>
        <v>0</v>
      </c>
      <c r="C97" s="129">
        <f t="shared" si="32"/>
        <v>1955880</v>
      </c>
      <c r="D97" s="33">
        <f t="shared" si="32"/>
        <v>2330830</v>
      </c>
      <c r="E97" s="33">
        <f t="shared" si="32"/>
        <v>2756399.4750000001</v>
      </c>
      <c r="F97" s="33">
        <f t="shared" si="32"/>
        <v>2953886.9171250002</v>
      </c>
      <c r="G97" s="33">
        <f t="shared" si="32"/>
        <v>3109866.020881875</v>
      </c>
      <c r="H97" s="3"/>
    </row>
    <row r="98" spans="1:12" x14ac:dyDescent="0.3">
      <c r="A98" s="19"/>
      <c r="B98" s="12"/>
      <c r="C98" s="104"/>
      <c r="D98" s="12"/>
      <c r="E98" s="12"/>
      <c r="F98" s="12"/>
      <c r="G98" s="12"/>
      <c r="H98" s="3"/>
    </row>
    <row r="99" spans="1:12" x14ac:dyDescent="0.3">
      <c r="A99" s="32" t="s">
        <v>58</v>
      </c>
      <c r="B99" s="31"/>
      <c r="C99" s="130"/>
      <c r="D99" s="31"/>
      <c r="E99" s="31"/>
      <c r="F99" s="31"/>
      <c r="G99" s="31"/>
      <c r="H99" s="3"/>
    </row>
    <row r="100" spans="1:12" x14ac:dyDescent="0.3">
      <c r="A100" s="19" t="s">
        <v>57</v>
      </c>
      <c r="B100" s="20">
        <v>0</v>
      </c>
      <c r="C100" s="126">
        <f t="shared" ref="C100:G105" si="33">B100*1.015</f>
        <v>0</v>
      </c>
      <c r="D100" s="20">
        <f t="shared" si="33"/>
        <v>0</v>
      </c>
      <c r="E100" s="20">
        <f t="shared" si="33"/>
        <v>0</v>
      </c>
      <c r="F100" s="20">
        <f t="shared" si="33"/>
        <v>0</v>
      </c>
      <c r="G100" s="20">
        <f t="shared" si="33"/>
        <v>0</v>
      </c>
      <c r="H100" s="3"/>
    </row>
    <row r="101" spans="1:12" x14ac:dyDescent="0.3">
      <c r="A101" s="19" t="s">
        <v>56</v>
      </c>
      <c r="B101" s="20">
        <v>0</v>
      </c>
      <c r="C101" s="126">
        <f t="shared" si="33"/>
        <v>0</v>
      </c>
      <c r="D101" s="20">
        <f t="shared" si="33"/>
        <v>0</v>
      </c>
      <c r="E101" s="20">
        <f t="shared" si="33"/>
        <v>0</v>
      </c>
      <c r="F101" s="20">
        <f t="shared" si="33"/>
        <v>0</v>
      </c>
      <c r="G101" s="20">
        <f t="shared" si="33"/>
        <v>0</v>
      </c>
      <c r="H101" s="3"/>
    </row>
    <row r="102" spans="1:12" x14ac:dyDescent="0.3">
      <c r="A102" s="19" t="s">
        <v>55</v>
      </c>
      <c r="B102" s="20">
        <v>0</v>
      </c>
      <c r="C102" s="126">
        <f t="shared" si="33"/>
        <v>0</v>
      </c>
      <c r="D102" s="20">
        <f t="shared" si="33"/>
        <v>0</v>
      </c>
      <c r="E102" s="20">
        <f t="shared" si="33"/>
        <v>0</v>
      </c>
      <c r="F102" s="20">
        <f t="shared" si="33"/>
        <v>0</v>
      </c>
      <c r="G102" s="20">
        <f t="shared" si="33"/>
        <v>0</v>
      </c>
      <c r="H102" s="3"/>
    </row>
    <row r="103" spans="1:12" x14ac:dyDescent="0.3">
      <c r="A103" s="19" t="s">
        <v>54</v>
      </c>
      <c r="B103" s="20">
        <v>0</v>
      </c>
      <c r="C103" s="126">
        <f t="shared" si="33"/>
        <v>0</v>
      </c>
      <c r="D103" s="20">
        <f t="shared" si="33"/>
        <v>0</v>
      </c>
      <c r="E103" s="20">
        <f t="shared" si="33"/>
        <v>0</v>
      </c>
      <c r="F103" s="20">
        <f t="shared" si="33"/>
        <v>0</v>
      </c>
      <c r="G103" s="20">
        <f t="shared" si="33"/>
        <v>0</v>
      </c>
      <c r="H103" s="3"/>
      <c r="J103" s="30"/>
      <c r="K103" s="30"/>
    </row>
    <row r="104" spans="1:12" x14ac:dyDescent="0.3">
      <c r="A104" s="19" t="s">
        <v>53</v>
      </c>
      <c r="B104" s="20">
        <v>0</v>
      </c>
      <c r="C104" s="126">
        <f t="shared" si="33"/>
        <v>0</v>
      </c>
      <c r="D104" s="20">
        <f t="shared" si="33"/>
        <v>0</v>
      </c>
      <c r="E104" s="20">
        <f t="shared" si="33"/>
        <v>0</v>
      </c>
      <c r="F104" s="20">
        <f t="shared" si="33"/>
        <v>0</v>
      </c>
      <c r="G104" s="20">
        <f t="shared" si="33"/>
        <v>0</v>
      </c>
      <c r="H104" s="3"/>
    </row>
    <row r="105" spans="1:12" x14ac:dyDescent="0.3">
      <c r="A105" s="19" t="s">
        <v>52</v>
      </c>
      <c r="B105" s="20">
        <v>0</v>
      </c>
      <c r="C105" s="126">
        <f t="shared" si="33"/>
        <v>0</v>
      </c>
      <c r="D105" s="20">
        <f t="shared" si="33"/>
        <v>0</v>
      </c>
      <c r="E105" s="20">
        <f t="shared" si="33"/>
        <v>0</v>
      </c>
      <c r="F105" s="20">
        <f t="shared" si="33"/>
        <v>0</v>
      </c>
      <c r="G105" s="20">
        <f t="shared" si="33"/>
        <v>0</v>
      </c>
      <c r="H105" s="3"/>
      <c r="J105" s="3"/>
    </row>
    <row r="106" spans="1:12" x14ac:dyDescent="0.3">
      <c r="A106" s="19" t="s">
        <v>51</v>
      </c>
      <c r="B106" s="20">
        <v>0</v>
      </c>
      <c r="C106" s="126">
        <f>115*180</f>
        <v>20700</v>
      </c>
      <c r="D106" s="126">
        <f t="shared" ref="D106:G106" si="34">115*180</f>
        <v>20700</v>
      </c>
      <c r="E106" s="126">
        <f t="shared" si="34"/>
        <v>20700</v>
      </c>
      <c r="F106" s="126">
        <f t="shared" si="34"/>
        <v>20700</v>
      </c>
      <c r="G106" s="126">
        <f t="shared" si="34"/>
        <v>20700</v>
      </c>
      <c r="H106" s="3"/>
      <c r="J106" s="29"/>
    </row>
    <row r="107" spans="1:12" x14ac:dyDescent="0.3">
      <c r="A107" s="28" t="s">
        <v>50</v>
      </c>
      <c r="B107" s="27">
        <f t="shared" ref="B107:G107" si="35">SUM(B100:B106)+B97</f>
        <v>0</v>
      </c>
      <c r="C107" s="131">
        <f t="shared" si="35"/>
        <v>1976580</v>
      </c>
      <c r="D107" s="27">
        <f t="shared" si="35"/>
        <v>2351530</v>
      </c>
      <c r="E107" s="27">
        <f t="shared" si="35"/>
        <v>2777099.4750000001</v>
      </c>
      <c r="F107" s="27">
        <f t="shared" si="35"/>
        <v>2974586.9171250002</v>
      </c>
      <c r="G107" s="27">
        <f t="shared" si="35"/>
        <v>3130566.020881875</v>
      </c>
      <c r="H107" s="3"/>
    </row>
    <row r="108" spans="1:12" x14ac:dyDescent="0.3">
      <c r="A108" s="19" t="s">
        <v>49</v>
      </c>
      <c r="B108" s="20">
        <f>B107*0.295</f>
        <v>0</v>
      </c>
      <c r="C108" s="126">
        <f t="shared" ref="C108:G108" si="36">C107*0.295</f>
        <v>583091.1</v>
      </c>
      <c r="D108" s="20">
        <f t="shared" si="36"/>
        <v>693701.35</v>
      </c>
      <c r="E108" s="20">
        <f t="shared" si="36"/>
        <v>819244.34512499999</v>
      </c>
      <c r="F108" s="20">
        <f t="shared" si="36"/>
        <v>877503.140551875</v>
      </c>
      <c r="G108" s="20">
        <f t="shared" si="36"/>
        <v>923516.97616015305</v>
      </c>
      <c r="H108" s="3"/>
      <c r="J108" s="26"/>
    </row>
    <row r="109" spans="1:12" x14ac:dyDescent="0.3">
      <c r="A109" s="19" t="s">
        <v>154</v>
      </c>
      <c r="B109" s="20">
        <f>B107*0.171</f>
        <v>0</v>
      </c>
      <c r="C109" s="126">
        <f>C107*0.175</f>
        <v>345901.5</v>
      </c>
      <c r="D109" s="20">
        <f>D107*0.18</f>
        <v>423275.39999999997</v>
      </c>
      <c r="E109" s="20">
        <f>E107*0.185</f>
        <v>513763.40287500003</v>
      </c>
      <c r="F109" s="20">
        <f>F107*0.19</f>
        <v>565171.51425374998</v>
      </c>
      <c r="G109" s="20">
        <f>G107*0.195</f>
        <v>610460.37407196569</v>
      </c>
      <c r="H109" s="3"/>
      <c r="J109" s="26"/>
      <c r="K109" s="3"/>
      <c r="L109" s="3"/>
    </row>
    <row r="110" spans="1:12" x14ac:dyDescent="0.3">
      <c r="A110" s="19" t="s">
        <v>48</v>
      </c>
      <c r="B110" s="20">
        <v>0</v>
      </c>
      <c r="C110" s="126">
        <v>0</v>
      </c>
      <c r="D110" s="20">
        <v>0</v>
      </c>
      <c r="E110" s="20">
        <v>0</v>
      </c>
      <c r="F110" s="20">
        <v>0</v>
      </c>
      <c r="G110" s="12">
        <v>0</v>
      </c>
      <c r="H110" s="3"/>
      <c r="J110" s="3"/>
    </row>
    <row r="111" spans="1:12" x14ac:dyDescent="0.3">
      <c r="A111" s="19" t="s">
        <v>47</v>
      </c>
      <c r="B111" s="20">
        <v>0</v>
      </c>
      <c r="C111" s="126">
        <v>5000</v>
      </c>
      <c r="D111" s="20">
        <v>5000</v>
      </c>
      <c r="E111" s="20">
        <v>5000</v>
      </c>
      <c r="F111" s="20">
        <v>5000</v>
      </c>
      <c r="G111" s="20">
        <v>5000</v>
      </c>
      <c r="H111" s="3"/>
    </row>
    <row r="112" spans="1:12" x14ac:dyDescent="0.3">
      <c r="A112" s="19" t="s">
        <v>46</v>
      </c>
      <c r="B112" s="20">
        <f>(B36*10*150)-B106</f>
        <v>0</v>
      </c>
      <c r="C112" s="126">
        <f>(C36*10*150)-C106+10000</f>
        <v>43300</v>
      </c>
      <c r="D112" s="126">
        <f t="shared" ref="D112:G112" si="37">(D36*10*150)-D106+10000</f>
        <v>51550</v>
      </c>
      <c r="E112" s="126">
        <f t="shared" si="37"/>
        <v>59800</v>
      </c>
      <c r="F112" s="126">
        <f t="shared" si="37"/>
        <v>64300</v>
      </c>
      <c r="G112" s="126">
        <f t="shared" si="37"/>
        <v>67300</v>
      </c>
      <c r="H112" s="3"/>
      <c r="J112" s="3"/>
    </row>
    <row r="113" spans="1:10" x14ac:dyDescent="0.3">
      <c r="A113" s="18" t="s">
        <v>45</v>
      </c>
      <c r="B113" s="25">
        <f t="shared" ref="B113:G113" si="38">SUM(B107:B112)</f>
        <v>0</v>
      </c>
      <c r="C113" s="80">
        <f t="shared" si="38"/>
        <v>2953872.6</v>
      </c>
      <c r="D113" s="25">
        <f t="shared" si="38"/>
        <v>3525056.75</v>
      </c>
      <c r="E113" s="25">
        <f t="shared" si="38"/>
        <v>4174907.2230000002</v>
      </c>
      <c r="F113" s="25">
        <f t="shared" si="38"/>
        <v>4486561.5719306245</v>
      </c>
      <c r="G113" s="25">
        <f t="shared" si="38"/>
        <v>4736843.3711139942</v>
      </c>
      <c r="H113" s="3"/>
      <c r="J113" s="3"/>
    </row>
    <row r="114" spans="1:10" x14ac:dyDescent="0.3">
      <c r="A114" s="24" t="s">
        <v>44</v>
      </c>
      <c r="B114" s="23" t="str">
        <f t="shared" ref="B114:G114" si="39">B1</f>
        <v>19-20</v>
      </c>
      <c r="C114" s="128" t="str">
        <f t="shared" si="39"/>
        <v>20-21</v>
      </c>
      <c r="D114" s="23" t="str">
        <f t="shared" si="39"/>
        <v>21-22</v>
      </c>
      <c r="E114" s="23" t="str">
        <f t="shared" si="39"/>
        <v>22-23</v>
      </c>
      <c r="F114" s="23" t="str">
        <f t="shared" si="39"/>
        <v>23-24</v>
      </c>
      <c r="G114" s="23" t="str">
        <f t="shared" si="39"/>
        <v>24-25</v>
      </c>
      <c r="H114" s="3"/>
      <c r="J114" s="3"/>
    </row>
    <row r="115" spans="1:10" x14ac:dyDescent="0.3">
      <c r="A115" s="22" t="s">
        <v>43</v>
      </c>
      <c r="B115" s="20">
        <v>0</v>
      </c>
      <c r="C115" s="126">
        <f>10*C17+120</f>
        <v>7500</v>
      </c>
      <c r="D115" s="20">
        <f t="shared" ref="D115:G115" si="40">95*D17</f>
        <v>83885</v>
      </c>
      <c r="E115" s="20">
        <f t="shared" si="40"/>
        <v>94715</v>
      </c>
      <c r="F115" s="20">
        <f t="shared" si="40"/>
        <v>103075</v>
      </c>
      <c r="G115" s="20">
        <f t="shared" si="40"/>
        <v>108490</v>
      </c>
      <c r="H115" s="3"/>
    </row>
    <row r="116" spans="1:10" x14ac:dyDescent="0.3">
      <c r="A116" s="19" t="s">
        <v>42</v>
      </c>
      <c r="B116" s="20">
        <v>0</v>
      </c>
      <c r="C116" s="126">
        <v>127500</v>
      </c>
      <c r="D116" s="20">
        <v>155000</v>
      </c>
      <c r="E116" s="20">
        <v>180000</v>
      </c>
      <c r="F116" s="20">
        <v>205000</v>
      </c>
      <c r="G116" s="20">
        <v>120000</v>
      </c>
      <c r="H116" s="3"/>
    </row>
    <row r="117" spans="1:10" x14ac:dyDescent="0.3">
      <c r="A117" s="19" t="s">
        <v>41</v>
      </c>
      <c r="B117" s="20">
        <v>0</v>
      </c>
      <c r="C117" s="126">
        <f t="shared" ref="C117:G117" si="41">13*C17</f>
        <v>9594</v>
      </c>
      <c r="D117" s="20">
        <f t="shared" si="41"/>
        <v>11479</v>
      </c>
      <c r="E117" s="20">
        <f t="shared" si="41"/>
        <v>12961</v>
      </c>
      <c r="F117" s="20">
        <f t="shared" si="41"/>
        <v>14105</v>
      </c>
      <c r="G117" s="20">
        <f t="shared" si="41"/>
        <v>14846</v>
      </c>
      <c r="H117" s="3"/>
      <c r="J117" s="3"/>
    </row>
    <row r="118" spans="1:10" x14ac:dyDescent="0.3">
      <c r="A118" s="19" t="s">
        <v>40</v>
      </c>
      <c r="B118" s="20">
        <v>0</v>
      </c>
      <c r="C118" s="126">
        <f t="shared" ref="C118:G118" si="42">27*C17</f>
        <v>19926</v>
      </c>
      <c r="D118" s="20">
        <f t="shared" si="42"/>
        <v>23841</v>
      </c>
      <c r="E118" s="20">
        <f t="shared" si="42"/>
        <v>26919</v>
      </c>
      <c r="F118" s="20">
        <f t="shared" si="42"/>
        <v>29295</v>
      </c>
      <c r="G118" s="20">
        <f t="shared" si="42"/>
        <v>30834</v>
      </c>
      <c r="H118" s="3"/>
    </row>
    <row r="119" spans="1:10" x14ac:dyDescent="0.3">
      <c r="A119" s="19" t="s">
        <v>39</v>
      </c>
      <c r="B119" s="20">
        <v>0</v>
      </c>
      <c r="C119" s="126">
        <f t="shared" ref="C119:G119" si="43">4*C17</f>
        <v>2952</v>
      </c>
      <c r="D119" s="20">
        <f t="shared" si="43"/>
        <v>3532</v>
      </c>
      <c r="E119" s="20">
        <f t="shared" si="43"/>
        <v>3988</v>
      </c>
      <c r="F119" s="20">
        <f t="shared" si="43"/>
        <v>4340</v>
      </c>
      <c r="G119" s="20">
        <f t="shared" si="43"/>
        <v>4568</v>
      </c>
      <c r="H119" s="3"/>
    </row>
    <row r="120" spans="1:10" x14ac:dyDescent="0.3">
      <c r="A120" s="19" t="s">
        <v>38</v>
      </c>
      <c r="B120" s="20">
        <v>0</v>
      </c>
      <c r="C120" s="126">
        <f t="shared" ref="C120:G120" si="44">3*C17</f>
        <v>2214</v>
      </c>
      <c r="D120" s="20">
        <f t="shared" si="44"/>
        <v>2649</v>
      </c>
      <c r="E120" s="20">
        <f t="shared" si="44"/>
        <v>2991</v>
      </c>
      <c r="F120" s="20">
        <f t="shared" si="44"/>
        <v>3255</v>
      </c>
      <c r="G120" s="20">
        <f t="shared" si="44"/>
        <v>3426</v>
      </c>
      <c r="H120" s="3"/>
    </row>
    <row r="121" spans="1:10" x14ac:dyDescent="0.3">
      <c r="A121" s="19" t="s">
        <v>37</v>
      </c>
      <c r="B121" s="20">
        <v>0</v>
      </c>
      <c r="C121" s="126">
        <f t="shared" ref="C121:G121" si="45">120*C20</f>
        <v>6960</v>
      </c>
      <c r="D121" s="20">
        <f t="shared" si="45"/>
        <v>8280</v>
      </c>
      <c r="E121" s="20">
        <f t="shared" si="45"/>
        <v>9360</v>
      </c>
      <c r="F121" s="20">
        <f t="shared" si="45"/>
        <v>10200</v>
      </c>
      <c r="G121" s="20">
        <f t="shared" si="45"/>
        <v>10680</v>
      </c>
      <c r="H121" s="3"/>
    </row>
    <row r="122" spans="1:10" x14ac:dyDescent="0.3">
      <c r="A122" s="19" t="s">
        <v>36</v>
      </c>
      <c r="B122" s="20">
        <v>0</v>
      </c>
      <c r="C122" s="126">
        <v>0</v>
      </c>
      <c r="D122" s="20">
        <v>0</v>
      </c>
      <c r="E122" s="20">
        <v>0</v>
      </c>
      <c r="F122" s="20">
        <v>0</v>
      </c>
      <c r="G122" s="20">
        <v>0</v>
      </c>
      <c r="H122" s="3"/>
    </row>
    <row r="123" spans="1:10" x14ac:dyDescent="0.3">
      <c r="A123" s="19" t="s">
        <v>35</v>
      </c>
      <c r="B123" s="20">
        <v>0</v>
      </c>
      <c r="C123" s="126">
        <v>5000</v>
      </c>
      <c r="D123" s="20">
        <f>C123+1000</f>
        <v>6000</v>
      </c>
      <c r="E123" s="20">
        <f t="shared" ref="E123:G123" si="46">D123*1.03</f>
        <v>6180</v>
      </c>
      <c r="F123" s="20">
        <f t="shared" si="46"/>
        <v>6365.4000000000005</v>
      </c>
      <c r="G123" s="20">
        <f t="shared" si="46"/>
        <v>6556.362000000001</v>
      </c>
      <c r="H123" s="3"/>
    </row>
    <row r="124" spans="1:10" x14ac:dyDescent="0.3">
      <c r="A124" s="19" t="s">
        <v>34</v>
      </c>
      <c r="B124" s="20">
        <v>0</v>
      </c>
      <c r="C124" s="126">
        <v>1000</v>
      </c>
      <c r="D124" s="20">
        <v>1000</v>
      </c>
      <c r="E124" s="20">
        <v>1000</v>
      </c>
      <c r="F124" s="20">
        <v>1000</v>
      </c>
      <c r="G124" s="20">
        <v>1000</v>
      </c>
      <c r="H124" s="3"/>
    </row>
    <row r="125" spans="1:10" x14ac:dyDescent="0.3">
      <c r="A125" s="19" t="s">
        <v>33</v>
      </c>
      <c r="B125" s="20">
        <v>0</v>
      </c>
      <c r="C125" s="126">
        <v>2500</v>
      </c>
      <c r="D125" s="20">
        <v>2500</v>
      </c>
      <c r="E125" s="20">
        <v>2500</v>
      </c>
      <c r="F125" s="20">
        <v>2500</v>
      </c>
      <c r="G125" s="20">
        <v>2500</v>
      </c>
      <c r="H125" s="3"/>
    </row>
    <row r="126" spans="1:10" x14ac:dyDescent="0.3">
      <c r="A126" s="19" t="s">
        <v>32</v>
      </c>
      <c r="B126" s="20">
        <v>0</v>
      </c>
      <c r="C126" s="126">
        <f>175*C17</f>
        <v>129150</v>
      </c>
      <c r="D126" s="126">
        <f>180*D17</f>
        <v>158940</v>
      </c>
      <c r="E126" s="126">
        <f>185*E17</f>
        <v>184445</v>
      </c>
      <c r="F126" s="126">
        <f>190*F17</f>
        <v>206150</v>
      </c>
      <c r="G126" s="126">
        <f>195*G17</f>
        <v>222690</v>
      </c>
      <c r="H126" s="3"/>
    </row>
    <row r="127" spans="1:10" x14ac:dyDescent="0.3">
      <c r="A127" s="19" t="s">
        <v>31</v>
      </c>
      <c r="B127" s="20">
        <v>0</v>
      </c>
      <c r="C127" s="126">
        <v>6000</v>
      </c>
      <c r="D127" s="20">
        <f>C127*1.015</f>
        <v>6089.9999999999991</v>
      </c>
      <c r="E127" s="20">
        <f t="shared" ref="E127:G127" si="47">D127*1.015</f>
        <v>6181.3499999999985</v>
      </c>
      <c r="F127" s="20">
        <f t="shared" si="47"/>
        <v>6274.0702499999979</v>
      </c>
      <c r="G127" s="20">
        <f t="shared" si="47"/>
        <v>6368.1813037499969</v>
      </c>
      <c r="H127" s="3"/>
    </row>
    <row r="128" spans="1:10" x14ac:dyDescent="0.3">
      <c r="A128" s="19" t="s">
        <v>30</v>
      </c>
      <c r="B128" s="20">
        <v>0</v>
      </c>
      <c r="C128" s="126">
        <f t="shared" ref="C128:G128" si="48">450*C17</f>
        <v>332100</v>
      </c>
      <c r="D128" s="20">
        <f t="shared" si="48"/>
        <v>397350</v>
      </c>
      <c r="E128" s="20">
        <f t="shared" si="48"/>
        <v>448650</v>
      </c>
      <c r="F128" s="20">
        <f t="shared" si="48"/>
        <v>488250</v>
      </c>
      <c r="G128" s="20">
        <f t="shared" si="48"/>
        <v>513900</v>
      </c>
      <c r="H128" s="3"/>
    </row>
    <row r="129" spans="1:8" x14ac:dyDescent="0.3">
      <c r="A129" s="19" t="s">
        <v>29</v>
      </c>
      <c r="B129" s="20">
        <v>0</v>
      </c>
      <c r="C129" s="104">
        <f>(240*C62)+2000</f>
        <v>13400</v>
      </c>
      <c r="D129" s="104">
        <f t="shared" ref="D129:G129" si="49">(240*D62)+2000</f>
        <v>15560</v>
      </c>
      <c r="E129" s="104">
        <f t="shared" si="49"/>
        <v>17600</v>
      </c>
      <c r="F129" s="104">
        <f t="shared" si="49"/>
        <v>18560</v>
      </c>
      <c r="G129" s="104">
        <f t="shared" si="49"/>
        <v>19280</v>
      </c>
      <c r="H129" s="3"/>
    </row>
    <row r="130" spans="1:8" x14ac:dyDescent="0.3">
      <c r="A130" s="19" t="s">
        <v>28</v>
      </c>
      <c r="B130" s="20">
        <v>0</v>
      </c>
      <c r="C130" s="126">
        <v>0</v>
      </c>
      <c r="D130" s="20">
        <v>20000</v>
      </c>
      <c r="E130" s="20">
        <f>D130*1.04</f>
        <v>20800</v>
      </c>
      <c r="F130" s="20">
        <f t="shared" ref="F130:G130" si="50">E130*1.04</f>
        <v>21632</v>
      </c>
      <c r="G130" s="20">
        <f t="shared" si="50"/>
        <v>22497.280000000002</v>
      </c>
      <c r="H130" s="3"/>
    </row>
    <row r="131" spans="1:8" x14ac:dyDescent="0.3">
      <c r="A131" s="19" t="s">
        <v>27</v>
      </c>
      <c r="B131" s="20">
        <v>0</v>
      </c>
      <c r="C131" s="126">
        <v>5500</v>
      </c>
      <c r="D131" s="20">
        <f>C131*1.02</f>
        <v>5610</v>
      </c>
      <c r="E131" s="20">
        <f t="shared" ref="E131:G131" si="51">D131*1.02</f>
        <v>5722.2</v>
      </c>
      <c r="F131" s="20">
        <f t="shared" si="51"/>
        <v>5836.6440000000002</v>
      </c>
      <c r="G131" s="20">
        <f t="shared" si="51"/>
        <v>5953.3768800000007</v>
      </c>
      <c r="H131" s="3"/>
    </row>
    <row r="132" spans="1:8" x14ac:dyDescent="0.3">
      <c r="A132" s="19" t="s">
        <v>26</v>
      </c>
      <c r="B132" s="20">
        <v>0</v>
      </c>
      <c r="C132" s="126">
        <f t="shared" ref="C132:G132" si="52">C17*42</f>
        <v>30996</v>
      </c>
      <c r="D132" s="20">
        <f t="shared" si="52"/>
        <v>37086</v>
      </c>
      <c r="E132" s="20">
        <f t="shared" si="52"/>
        <v>41874</v>
      </c>
      <c r="F132" s="20">
        <f t="shared" si="52"/>
        <v>45570</v>
      </c>
      <c r="G132" s="20">
        <f t="shared" si="52"/>
        <v>47964</v>
      </c>
      <c r="H132" s="3"/>
    </row>
    <row r="133" spans="1:8" x14ac:dyDescent="0.3">
      <c r="A133" s="19" t="s">
        <v>25</v>
      </c>
      <c r="B133" s="20">
        <v>0</v>
      </c>
      <c r="C133" s="126">
        <v>15000</v>
      </c>
      <c r="D133" s="20">
        <v>8500</v>
      </c>
      <c r="E133" s="20">
        <v>6000</v>
      </c>
      <c r="F133" s="20">
        <v>6000</v>
      </c>
      <c r="G133" s="12">
        <v>6000</v>
      </c>
      <c r="H133" s="3"/>
    </row>
    <row r="134" spans="1:8" x14ac:dyDescent="0.3">
      <c r="A134" s="19" t="s">
        <v>24</v>
      </c>
      <c r="B134" s="20">
        <v>0</v>
      </c>
      <c r="C134" s="126">
        <v>3000</v>
      </c>
      <c r="D134" s="20">
        <v>3000</v>
      </c>
      <c r="E134" s="20">
        <v>3000</v>
      </c>
      <c r="F134" s="20">
        <v>3000</v>
      </c>
      <c r="G134" s="20">
        <v>3000</v>
      </c>
      <c r="H134" s="3"/>
    </row>
    <row r="135" spans="1:8" x14ac:dyDescent="0.3">
      <c r="A135" s="19" t="s">
        <v>23</v>
      </c>
      <c r="B135" s="20">
        <v>0</v>
      </c>
      <c r="C135" s="126">
        <v>55000</v>
      </c>
      <c r="D135" s="20">
        <f>C135+5000</f>
        <v>60000</v>
      </c>
      <c r="E135" s="20">
        <f>D135+5000</f>
        <v>65000</v>
      </c>
      <c r="F135" s="20">
        <f>E135*1.05</f>
        <v>68250</v>
      </c>
      <c r="G135" s="20">
        <f>F135*1.05</f>
        <v>71662.5</v>
      </c>
      <c r="H135" s="3"/>
    </row>
    <row r="136" spans="1:8" x14ac:dyDescent="0.3">
      <c r="A136" s="19" t="s">
        <v>22</v>
      </c>
      <c r="B136" s="20">
        <v>0</v>
      </c>
      <c r="C136" s="126">
        <v>2000</v>
      </c>
      <c r="D136" s="20">
        <v>2000</v>
      </c>
      <c r="E136" s="20">
        <v>2000</v>
      </c>
      <c r="F136" s="20">
        <v>2000</v>
      </c>
      <c r="G136" s="20">
        <v>2000</v>
      </c>
      <c r="H136" s="3"/>
    </row>
    <row r="137" spans="1:8" x14ac:dyDescent="0.3">
      <c r="A137" s="19" t="s">
        <v>21</v>
      </c>
      <c r="B137" s="20">
        <v>0</v>
      </c>
      <c r="C137" s="126">
        <f t="shared" ref="C137:G137" si="53">C77*0.02</f>
        <v>107598.99154175997</v>
      </c>
      <c r="D137" s="20">
        <f t="shared" si="53"/>
        <v>130413.33110471805</v>
      </c>
      <c r="E137" s="20">
        <f t="shared" si="53"/>
        <v>149164.64133165585</v>
      </c>
      <c r="F137" s="20">
        <f t="shared" si="53"/>
        <v>164440.92588849505</v>
      </c>
      <c r="G137" s="20">
        <f t="shared" si="53"/>
        <v>175329.79479299716</v>
      </c>
      <c r="H137" s="3"/>
    </row>
    <row r="138" spans="1:8" x14ac:dyDescent="0.3">
      <c r="A138" s="19" t="s">
        <v>20</v>
      </c>
      <c r="B138" s="20">
        <v>0</v>
      </c>
      <c r="C138" s="126">
        <f t="shared" ref="C138:G138" si="54">C77*0.005</f>
        <v>26899.747885439992</v>
      </c>
      <c r="D138" s="20">
        <f t="shared" si="54"/>
        <v>32603.332776179512</v>
      </c>
      <c r="E138" s="20">
        <f t="shared" si="54"/>
        <v>37291.160332913962</v>
      </c>
      <c r="F138" s="20">
        <f t="shared" si="54"/>
        <v>41110.231472123764</v>
      </c>
      <c r="G138" s="20">
        <f t="shared" si="54"/>
        <v>43832.448698249289</v>
      </c>
      <c r="H138" s="3"/>
    </row>
    <row r="139" spans="1:8" x14ac:dyDescent="0.3">
      <c r="A139" s="19" t="s">
        <v>19</v>
      </c>
      <c r="B139" s="20">
        <v>0</v>
      </c>
      <c r="C139" s="126">
        <f t="shared" ref="C139:G139" si="55">C77*0.005</f>
        <v>26899.747885439992</v>
      </c>
      <c r="D139" s="20">
        <f t="shared" si="55"/>
        <v>32603.332776179512</v>
      </c>
      <c r="E139" s="20">
        <f t="shared" si="55"/>
        <v>37291.160332913962</v>
      </c>
      <c r="F139" s="20">
        <f t="shared" si="55"/>
        <v>41110.231472123764</v>
      </c>
      <c r="G139" s="20">
        <f t="shared" si="55"/>
        <v>43832.448698249289</v>
      </c>
      <c r="H139" s="3"/>
    </row>
    <row r="140" spans="1:8" x14ac:dyDescent="0.3">
      <c r="A140" s="19" t="s">
        <v>18</v>
      </c>
      <c r="B140" s="20">
        <v>0</v>
      </c>
      <c r="C140" s="126">
        <v>17500</v>
      </c>
      <c r="D140" s="20">
        <f>C140*1.03</f>
        <v>18025</v>
      </c>
      <c r="E140" s="20">
        <f t="shared" ref="E140:G140" si="56">D140*1.03</f>
        <v>18565.75</v>
      </c>
      <c r="F140" s="20">
        <f t="shared" si="56"/>
        <v>19122.7225</v>
      </c>
      <c r="G140" s="20">
        <f t="shared" si="56"/>
        <v>19696.404175</v>
      </c>
      <c r="H140" s="3"/>
    </row>
    <row r="141" spans="1:8" x14ac:dyDescent="0.3">
      <c r="A141" s="19" t="s">
        <v>17</v>
      </c>
      <c r="B141" s="20">
        <v>0</v>
      </c>
      <c r="C141" s="126">
        <v>750</v>
      </c>
      <c r="D141" s="20">
        <f>C141+100</f>
        <v>850</v>
      </c>
      <c r="E141" s="20">
        <f t="shared" ref="E141:G141" si="57">D141+100</f>
        <v>950</v>
      </c>
      <c r="F141" s="20">
        <f t="shared" si="57"/>
        <v>1050</v>
      </c>
      <c r="G141" s="20">
        <f t="shared" si="57"/>
        <v>1150</v>
      </c>
      <c r="H141" s="3"/>
    </row>
    <row r="142" spans="1:8" x14ac:dyDescent="0.3">
      <c r="A142" s="19" t="s">
        <v>16</v>
      </c>
      <c r="B142" s="20">
        <v>0</v>
      </c>
      <c r="C142" s="126">
        <v>1000</v>
      </c>
      <c r="D142" s="20">
        <v>1000</v>
      </c>
      <c r="E142" s="20">
        <v>1000</v>
      </c>
      <c r="F142" s="20">
        <v>1000</v>
      </c>
      <c r="G142" s="20">
        <v>1000</v>
      </c>
      <c r="H142" s="3"/>
    </row>
    <row r="143" spans="1:8" x14ac:dyDescent="0.3">
      <c r="A143" s="19" t="s">
        <v>15</v>
      </c>
      <c r="B143" s="20">
        <v>0</v>
      </c>
      <c r="C143" s="126">
        <v>30000</v>
      </c>
      <c r="D143" s="20">
        <f>C143*1.05</f>
        <v>31500</v>
      </c>
      <c r="E143" s="20">
        <f t="shared" ref="E143:G143" si="58">D143*1.05</f>
        <v>33075</v>
      </c>
      <c r="F143" s="20">
        <f t="shared" si="58"/>
        <v>34728.75</v>
      </c>
      <c r="G143" s="20">
        <f t="shared" si="58"/>
        <v>36465.1875</v>
      </c>
      <c r="H143" s="3"/>
    </row>
    <row r="144" spans="1:8" x14ac:dyDescent="0.3">
      <c r="A144" s="19" t="s">
        <v>177</v>
      </c>
      <c r="B144" s="20">
        <v>0</v>
      </c>
      <c r="C144" s="126">
        <v>1000</v>
      </c>
      <c r="D144" s="20">
        <f>C144+200</f>
        <v>1200</v>
      </c>
      <c r="E144" s="20">
        <f t="shared" ref="E144:G144" si="59">D144+200</f>
        <v>1400</v>
      </c>
      <c r="F144" s="20">
        <f t="shared" si="59"/>
        <v>1600</v>
      </c>
      <c r="G144" s="20">
        <f t="shared" si="59"/>
        <v>1800</v>
      </c>
      <c r="H144" s="3"/>
    </row>
    <row r="145" spans="1:8" x14ac:dyDescent="0.3">
      <c r="A145" s="19" t="s">
        <v>14</v>
      </c>
      <c r="B145" s="20">
        <v>0</v>
      </c>
      <c r="C145" s="126">
        <v>1000</v>
      </c>
      <c r="D145" s="126">
        <v>1000</v>
      </c>
      <c r="E145" s="126">
        <v>1000</v>
      </c>
      <c r="F145" s="126">
        <v>2000</v>
      </c>
      <c r="G145" s="20">
        <v>2000</v>
      </c>
      <c r="H145" s="3"/>
    </row>
    <row r="146" spans="1:8" x14ac:dyDescent="0.3">
      <c r="A146" s="18" t="s">
        <v>5</v>
      </c>
      <c r="B146" s="25">
        <f t="shared" ref="B146:G146" si="60">SUM(B115:B145)</f>
        <v>0</v>
      </c>
      <c r="C146" s="80">
        <f t="shared" si="60"/>
        <v>989940.48731263995</v>
      </c>
      <c r="D146" s="25">
        <f t="shared" si="60"/>
        <v>1261496.9966570772</v>
      </c>
      <c r="E146" s="25">
        <f t="shared" si="60"/>
        <v>1421624.2619974837</v>
      </c>
      <c r="F146" s="25">
        <f t="shared" si="60"/>
        <v>1556820.9755827428</v>
      </c>
      <c r="G146" s="80">
        <f t="shared" si="60"/>
        <v>1549321.9840482457</v>
      </c>
      <c r="H146" s="3"/>
    </row>
    <row r="147" spans="1:8" x14ac:dyDescent="0.3">
      <c r="A147" s="21" t="s">
        <v>13</v>
      </c>
      <c r="B147" s="83" t="str">
        <f t="shared" ref="B147:G147" si="61">B1</f>
        <v>19-20</v>
      </c>
      <c r="C147" s="132" t="str">
        <f t="shared" si="61"/>
        <v>20-21</v>
      </c>
      <c r="D147" s="83" t="str">
        <f t="shared" si="61"/>
        <v>21-22</v>
      </c>
      <c r="E147" s="83" t="str">
        <f t="shared" si="61"/>
        <v>22-23</v>
      </c>
      <c r="F147" s="83" t="str">
        <f t="shared" si="61"/>
        <v>23-24</v>
      </c>
      <c r="G147" s="83" t="str">
        <f t="shared" si="61"/>
        <v>24-25</v>
      </c>
      <c r="H147" s="3"/>
    </row>
    <row r="148" spans="1:8" x14ac:dyDescent="0.3">
      <c r="A148" s="19" t="s">
        <v>12</v>
      </c>
      <c r="B148" s="20">
        <v>0</v>
      </c>
      <c r="C148" s="126">
        <v>105000</v>
      </c>
      <c r="D148" s="20">
        <f>125000</f>
        <v>125000</v>
      </c>
      <c r="E148" s="20">
        <f>D148+5000</f>
        <v>130000</v>
      </c>
      <c r="F148" s="20">
        <f t="shared" ref="F148" si="62">E148+5000</f>
        <v>135000</v>
      </c>
      <c r="G148" s="20">
        <f>F148+10000</f>
        <v>145000</v>
      </c>
      <c r="H148" s="3"/>
    </row>
    <row r="149" spans="1:8" x14ac:dyDescent="0.3">
      <c r="A149" s="19" t="s">
        <v>11</v>
      </c>
      <c r="B149" s="20">
        <v>0</v>
      </c>
      <c r="C149" s="126">
        <v>7200</v>
      </c>
      <c r="D149" s="20">
        <f t="shared" ref="D149:F149" si="63">C149*1.03</f>
        <v>7416</v>
      </c>
      <c r="E149" s="20">
        <f t="shared" si="63"/>
        <v>7638.4800000000005</v>
      </c>
      <c r="F149" s="20">
        <f t="shared" si="63"/>
        <v>7867.6344000000008</v>
      </c>
      <c r="G149" s="20">
        <f>F149*1.03+7000</f>
        <v>15103.663432000001</v>
      </c>
      <c r="H149" s="3"/>
    </row>
    <row r="150" spans="1:8" x14ac:dyDescent="0.3">
      <c r="A150" s="19" t="s">
        <v>10</v>
      </c>
      <c r="B150" s="20">
        <v>0</v>
      </c>
      <c r="C150" s="126">
        <f>(8100*10)+(5350*3)+(4000*2)</f>
        <v>105050</v>
      </c>
      <c r="D150" s="20">
        <f>(8200*10)+(5350*3)+(4000*2)</f>
        <v>106050</v>
      </c>
      <c r="E150" s="20">
        <f>(8250*10)+(5550*3)+(4000*2)</f>
        <v>107150</v>
      </c>
      <c r="F150" s="20">
        <f>(8300*10)+(5550*3)+(4100*2)</f>
        <v>107850</v>
      </c>
      <c r="G150" s="20">
        <f>(8400*10)+(5650*3)+(4200*2)</f>
        <v>109350</v>
      </c>
      <c r="H150" s="3"/>
    </row>
    <row r="151" spans="1:8" x14ac:dyDescent="0.3">
      <c r="A151" s="19" t="s">
        <v>9</v>
      </c>
      <c r="B151" s="20">
        <v>0</v>
      </c>
      <c r="C151" s="126">
        <f>C17*15</f>
        <v>11070</v>
      </c>
      <c r="D151" s="20">
        <f t="shared" ref="D151:G151" si="64">D17*15</f>
        <v>13245</v>
      </c>
      <c r="E151" s="20">
        <f t="shared" si="64"/>
        <v>14955</v>
      </c>
      <c r="F151" s="20">
        <f t="shared" si="64"/>
        <v>16275</v>
      </c>
      <c r="G151" s="20">
        <f t="shared" si="64"/>
        <v>17130</v>
      </c>
      <c r="H151" s="3"/>
    </row>
    <row r="152" spans="1:8" x14ac:dyDescent="0.3">
      <c r="A152" s="19" t="s">
        <v>8</v>
      </c>
      <c r="B152" s="20">
        <v>0</v>
      </c>
      <c r="C152" s="126">
        <v>28000</v>
      </c>
      <c r="D152" s="20">
        <v>35000</v>
      </c>
      <c r="E152" s="20">
        <v>42000</v>
      </c>
      <c r="F152" s="20">
        <v>45000</v>
      </c>
      <c r="G152" s="20">
        <f>50000</f>
        <v>50000</v>
      </c>
      <c r="H152" s="3"/>
    </row>
    <row r="153" spans="1:8" x14ac:dyDescent="0.3">
      <c r="A153" s="19" t="s">
        <v>173</v>
      </c>
      <c r="B153" s="20">
        <v>0</v>
      </c>
      <c r="C153" s="126">
        <f>12000</f>
        <v>12000</v>
      </c>
      <c r="D153" s="20">
        <f>C153*1.04</f>
        <v>12480</v>
      </c>
      <c r="E153" s="20">
        <f t="shared" ref="D153:G155" si="65">D153*1.03</f>
        <v>12854.4</v>
      </c>
      <c r="F153" s="20">
        <f>E153*1.05</f>
        <v>13497.12</v>
      </c>
      <c r="G153" s="20">
        <f>F153*1.04</f>
        <v>14037.004800000001</v>
      </c>
      <c r="H153" s="3"/>
    </row>
    <row r="154" spans="1:8" x14ac:dyDescent="0.3">
      <c r="A154" s="19" t="s">
        <v>7</v>
      </c>
      <c r="B154" s="20">
        <v>0</v>
      </c>
      <c r="C154" s="126">
        <f>12000</f>
        <v>12000</v>
      </c>
      <c r="D154" s="20">
        <f t="shared" si="65"/>
        <v>12360</v>
      </c>
      <c r="E154" s="20">
        <f t="shared" si="65"/>
        <v>12730.800000000001</v>
      </c>
      <c r="F154" s="20">
        <f t="shared" si="65"/>
        <v>13112.724000000002</v>
      </c>
      <c r="G154" s="20">
        <f t="shared" si="65"/>
        <v>13506.105720000003</v>
      </c>
      <c r="H154" s="3"/>
    </row>
    <row r="155" spans="1:8" x14ac:dyDescent="0.3">
      <c r="A155" s="19" t="s">
        <v>6</v>
      </c>
      <c r="B155" s="20">
        <v>0</v>
      </c>
      <c r="C155" s="126">
        <f>13000</f>
        <v>13000</v>
      </c>
      <c r="D155" s="20">
        <v>16000</v>
      </c>
      <c r="E155" s="20">
        <f t="shared" si="65"/>
        <v>16480</v>
      </c>
      <c r="F155" s="20">
        <f t="shared" si="65"/>
        <v>16974.400000000001</v>
      </c>
      <c r="G155" s="20">
        <f t="shared" si="65"/>
        <v>17483.632000000001</v>
      </c>
      <c r="H155" s="3"/>
    </row>
    <row r="156" spans="1:8" x14ac:dyDescent="0.3">
      <c r="A156" s="18" t="s">
        <v>5</v>
      </c>
      <c r="B156" s="25">
        <f>SUM(B148:B155)</f>
        <v>0</v>
      </c>
      <c r="C156" s="80">
        <f t="shared" ref="C156:G156" si="66">SUM(C148:C155)</f>
        <v>293320</v>
      </c>
      <c r="D156" s="80">
        <f t="shared" si="66"/>
        <v>327551</v>
      </c>
      <c r="E156" s="80">
        <f t="shared" si="66"/>
        <v>343808.68</v>
      </c>
      <c r="F156" s="80">
        <f t="shared" si="66"/>
        <v>355576.87839999999</v>
      </c>
      <c r="G156" s="80">
        <f t="shared" si="66"/>
        <v>381610.40595199994</v>
      </c>
      <c r="H156" s="3"/>
    </row>
    <row r="157" spans="1:8" ht="15" thickBot="1" x14ac:dyDescent="0.35">
      <c r="A157" s="17"/>
      <c r="B157" s="6"/>
      <c r="C157" s="133"/>
      <c r="D157" s="6"/>
      <c r="E157" s="6"/>
      <c r="F157" s="6"/>
      <c r="G157" s="6"/>
      <c r="H157" s="3"/>
    </row>
    <row r="158" spans="1:8" ht="15" thickBot="1" x14ac:dyDescent="0.35">
      <c r="A158" s="16" t="s">
        <v>4</v>
      </c>
      <c r="B158" s="15">
        <f t="shared" ref="B158:G158" si="67">B156+B146+B113</f>
        <v>0</v>
      </c>
      <c r="C158" s="134">
        <f t="shared" si="67"/>
        <v>4237133.0873126406</v>
      </c>
      <c r="D158" s="15">
        <f t="shared" si="67"/>
        <v>5114104.7466570772</v>
      </c>
      <c r="E158" s="15">
        <f t="shared" si="67"/>
        <v>5940340.1649974836</v>
      </c>
      <c r="F158" s="15">
        <f t="shared" si="67"/>
        <v>6398959.4259133674</v>
      </c>
      <c r="G158" s="15">
        <f t="shared" si="67"/>
        <v>6667775.7611142397</v>
      </c>
      <c r="H158" s="3"/>
    </row>
    <row r="159" spans="1:8" ht="15" thickBot="1" x14ac:dyDescent="0.35">
      <c r="A159" s="14"/>
      <c r="B159" s="6"/>
      <c r="C159" s="133"/>
      <c r="D159" s="6"/>
      <c r="E159" s="6"/>
      <c r="F159" s="6"/>
      <c r="G159" s="6"/>
      <c r="H159" s="3"/>
    </row>
    <row r="160" spans="1:8" x14ac:dyDescent="0.3">
      <c r="A160" s="11"/>
      <c r="B160" s="10"/>
      <c r="C160" s="124"/>
      <c r="D160" s="10"/>
      <c r="E160" s="10"/>
      <c r="F160" s="10"/>
      <c r="G160" s="10"/>
      <c r="H160" s="3"/>
    </row>
    <row r="161" spans="1:8" x14ac:dyDescent="0.3">
      <c r="A161" s="13" t="s">
        <v>3</v>
      </c>
      <c r="B161" s="20">
        <v>0</v>
      </c>
      <c r="C161" s="126">
        <v>865000</v>
      </c>
      <c r="D161" s="20">
        <v>1100000</v>
      </c>
      <c r="E161" s="20">
        <v>1300000</v>
      </c>
      <c r="F161" s="20">
        <v>1500000</v>
      </c>
      <c r="G161" s="20">
        <v>1585000</v>
      </c>
      <c r="H161" s="3"/>
    </row>
    <row r="162" spans="1:8" x14ac:dyDescent="0.3">
      <c r="A162" s="13" t="s">
        <v>2</v>
      </c>
      <c r="B162" s="20">
        <v>0</v>
      </c>
      <c r="C162" s="126">
        <v>0</v>
      </c>
      <c r="D162" s="20">
        <v>0</v>
      </c>
      <c r="E162" s="20">
        <v>0</v>
      </c>
      <c r="F162" s="20">
        <v>0</v>
      </c>
      <c r="G162" s="20">
        <v>0</v>
      </c>
      <c r="H162" s="3"/>
    </row>
    <row r="163" spans="1:8" x14ac:dyDescent="0.3">
      <c r="A163" s="13" t="s">
        <v>1</v>
      </c>
      <c r="B163" s="20">
        <v>0</v>
      </c>
      <c r="C163" s="126">
        <v>0</v>
      </c>
      <c r="D163" s="20">
        <v>0</v>
      </c>
      <c r="E163" s="20">
        <v>0</v>
      </c>
      <c r="F163" s="20">
        <v>0</v>
      </c>
      <c r="G163" s="20">
        <v>0</v>
      </c>
      <c r="H163" s="3"/>
    </row>
    <row r="164" spans="1:8" ht="15" thickBot="1" x14ac:dyDescent="0.35">
      <c r="A164" s="7"/>
      <c r="B164" s="6"/>
      <c r="C164" s="133"/>
      <c r="D164" s="6"/>
      <c r="E164" s="6"/>
      <c r="F164" s="6"/>
      <c r="G164" s="6"/>
      <c r="H164" s="3"/>
    </row>
    <row r="165" spans="1:8" x14ac:dyDescent="0.3">
      <c r="A165" s="11"/>
      <c r="B165" s="10"/>
      <c r="C165" s="124"/>
      <c r="D165" s="10"/>
      <c r="E165" s="10"/>
      <c r="F165" s="10"/>
      <c r="G165" s="10"/>
      <c r="H165" s="3"/>
    </row>
    <row r="166" spans="1:8" x14ac:dyDescent="0.3">
      <c r="A166" s="9" t="s">
        <v>0</v>
      </c>
      <c r="B166" s="8">
        <f>B76-B158-B161-B162-B163</f>
        <v>0</v>
      </c>
      <c r="C166" s="107">
        <f>C76-C158-C161-C162-C163</f>
        <v>52319.010920957662</v>
      </c>
      <c r="D166" s="8">
        <f t="shared" ref="D166:F166" si="68">D76-D158-D161-D162-D163</f>
        <v>273778.48081702925</v>
      </c>
      <c r="E166" s="8">
        <f t="shared" si="68"/>
        <v>176480.29825616907</v>
      </c>
      <c r="F166" s="8">
        <f t="shared" si="68"/>
        <v>273234.55379014742</v>
      </c>
      <c r="G166" s="8">
        <f>G76-G158-G161-G162-G163</f>
        <v>453639.49155312404</v>
      </c>
      <c r="H166" s="3"/>
    </row>
    <row r="167" spans="1:8" ht="15" thickBot="1" x14ac:dyDescent="0.35">
      <c r="A167" s="7"/>
      <c r="B167" s="6"/>
      <c r="C167" s="133"/>
      <c r="D167" s="6"/>
      <c r="E167" s="6"/>
      <c r="F167" s="6"/>
      <c r="G167" s="6"/>
      <c r="H167" s="3"/>
    </row>
    <row r="168" spans="1:8" x14ac:dyDescent="0.3">
      <c r="B168" s="5"/>
      <c r="C168" s="5">
        <f t="shared" ref="C168:G168" si="69">C166/C76</f>
        <v>1.0150256501343196E-2</v>
      </c>
      <c r="D168" s="5">
        <f t="shared" si="69"/>
        <v>4.219842916679898E-2</v>
      </c>
      <c r="E168" s="5">
        <f t="shared" si="69"/>
        <v>2.3794602974486684E-2</v>
      </c>
      <c r="F168" s="5">
        <f t="shared" si="69"/>
        <v>3.3434663257963966E-2</v>
      </c>
      <c r="G168" s="5">
        <f t="shared" si="69"/>
        <v>5.2104049529930654E-2</v>
      </c>
      <c r="H168" s="3"/>
    </row>
    <row r="169" spans="1:8" x14ac:dyDescent="0.3">
      <c r="A169" s="4" t="str">
        <f t="shared" ref="A169:G169" si="70">A1</f>
        <v>PANN</v>
      </c>
      <c r="B169" s="4" t="str">
        <f t="shared" si="70"/>
        <v>19-20</v>
      </c>
      <c r="C169" s="4" t="str">
        <f t="shared" si="70"/>
        <v>20-21</v>
      </c>
      <c r="D169" s="4" t="str">
        <f t="shared" si="70"/>
        <v>21-22</v>
      </c>
      <c r="E169" s="4" t="str">
        <f t="shared" si="70"/>
        <v>22-23</v>
      </c>
      <c r="F169" s="4" t="str">
        <f t="shared" si="70"/>
        <v>23-24</v>
      </c>
      <c r="G169" s="4" t="str">
        <f t="shared" si="70"/>
        <v>24-25</v>
      </c>
      <c r="H169" s="3"/>
    </row>
    <row r="172" spans="1:8" x14ac:dyDescent="0.3">
      <c r="A172" s="84" t="s">
        <v>134</v>
      </c>
      <c r="B172" s="85"/>
      <c r="C172" s="85">
        <f t="shared" ref="C172:G172" si="71">C76-C158</f>
        <v>917319.01092095766</v>
      </c>
      <c r="D172" s="85">
        <f t="shared" si="71"/>
        <v>1373778.4808170293</v>
      </c>
      <c r="E172" s="85">
        <f t="shared" si="71"/>
        <v>1476480.2982561691</v>
      </c>
      <c r="F172" s="85">
        <f t="shared" si="71"/>
        <v>1773234.5537901474</v>
      </c>
      <c r="G172" s="85">
        <f t="shared" si="71"/>
        <v>2038639.491553124</v>
      </c>
      <c r="H172" s="103"/>
    </row>
    <row r="174" spans="1:8" x14ac:dyDescent="0.3">
      <c r="A174" s="86" t="s">
        <v>174</v>
      </c>
      <c r="B174" s="87"/>
      <c r="C174" s="87">
        <f t="shared" ref="C174:G174" si="72">C162</f>
        <v>0</v>
      </c>
      <c r="D174" s="87">
        <f t="shared" si="72"/>
        <v>0</v>
      </c>
      <c r="E174" s="87">
        <f t="shared" si="72"/>
        <v>0</v>
      </c>
      <c r="F174" s="87">
        <f t="shared" si="72"/>
        <v>0</v>
      </c>
      <c r="G174" s="87">
        <f t="shared" si="72"/>
        <v>0</v>
      </c>
    </row>
    <row r="175" spans="1:8" x14ac:dyDescent="0.3">
      <c r="A175" s="86" t="s">
        <v>135</v>
      </c>
      <c r="B175" s="87"/>
      <c r="C175" s="87"/>
      <c r="D175" s="87"/>
      <c r="E175" s="87"/>
      <c r="F175" s="87"/>
      <c r="G175" s="87"/>
    </row>
    <row r="176" spans="1:8" x14ac:dyDescent="0.3">
      <c r="A176" s="88" t="s">
        <v>136</v>
      </c>
      <c r="B176" s="87"/>
      <c r="C176" s="87">
        <f>C161+C163</f>
        <v>865000</v>
      </c>
      <c r="D176" s="87">
        <f>D161+D163</f>
        <v>1100000</v>
      </c>
      <c r="E176" s="87">
        <f>E161+E163</f>
        <v>1300000</v>
      </c>
      <c r="F176" s="87">
        <f>F161+F163</f>
        <v>1500000</v>
      </c>
      <c r="G176" s="87">
        <f>G161+G163</f>
        <v>1585000</v>
      </c>
    </row>
    <row r="177" spans="1:7" x14ac:dyDescent="0.3">
      <c r="A177" s="89" t="s">
        <v>137</v>
      </c>
      <c r="B177" s="90"/>
      <c r="C177" s="90">
        <f t="shared" ref="C177:G177" si="73">SUM(C174:C176)</f>
        <v>865000</v>
      </c>
      <c r="D177" s="90">
        <f t="shared" si="73"/>
        <v>1100000</v>
      </c>
      <c r="E177" s="90">
        <f t="shared" si="73"/>
        <v>1300000</v>
      </c>
      <c r="F177" s="90">
        <f t="shared" si="73"/>
        <v>1500000</v>
      </c>
      <c r="G177" s="90">
        <f t="shared" si="73"/>
        <v>1585000</v>
      </c>
    </row>
    <row r="179" spans="1:7" x14ac:dyDescent="0.3">
      <c r="A179" s="84" t="s">
        <v>138</v>
      </c>
      <c r="B179" s="91"/>
      <c r="C179" s="91">
        <f t="shared" ref="C179:G179" si="74">C172/C177</f>
        <v>1.0604844056889684</v>
      </c>
      <c r="D179" s="91">
        <f t="shared" si="74"/>
        <v>1.248889528015481</v>
      </c>
      <c r="E179" s="91">
        <f t="shared" si="74"/>
        <v>1.1357540755816684</v>
      </c>
      <c r="F179" s="91">
        <f t="shared" si="74"/>
        <v>1.1821563691934316</v>
      </c>
      <c r="G179" s="91">
        <f t="shared" si="74"/>
        <v>1.286207881106072</v>
      </c>
    </row>
    <row r="181" spans="1:7" x14ac:dyDescent="0.3">
      <c r="A181" s="92" t="s">
        <v>139</v>
      </c>
      <c r="B181" s="92"/>
      <c r="C181" s="92"/>
      <c r="D181" s="92"/>
      <c r="E181" s="92"/>
      <c r="F181" s="92"/>
      <c r="G181" s="92"/>
    </row>
    <row r="182" spans="1:7" x14ac:dyDescent="0.3">
      <c r="A182" s="86" t="s">
        <v>172</v>
      </c>
      <c r="B182" s="101"/>
      <c r="C182" s="101">
        <f>B185</f>
        <v>0</v>
      </c>
      <c r="D182" s="101">
        <f>C185</f>
        <v>52319.010920957662</v>
      </c>
      <c r="E182" s="101">
        <f>D185</f>
        <v>326097.49173798691</v>
      </c>
      <c r="F182" s="101">
        <f>E185</f>
        <v>502577.78999415599</v>
      </c>
      <c r="G182" s="101">
        <f>F185</f>
        <v>775812.3437843034</v>
      </c>
    </row>
    <row r="183" spans="1:7" x14ac:dyDescent="0.3">
      <c r="A183" s="2" t="s">
        <v>140</v>
      </c>
      <c r="B183" s="101"/>
      <c r="C183" s="102">
        <v>0</v>
      </c>
      <c r="D183" s="102">
        <v>0</v>
      </c>
      <c r="E183" s="102">
        <v>0</v>
      </c>
      <c r="F183" s="102">
        <v>0</v>
      </c>
      <c r="G183" s="102">
        <v>0</v>
      </c>
    </row>
    <row r="184" spans="1:7" x14ac:dyDescent="0.3">
      <c r="A184" s="2" t="s">
        <v>141</v>
      </c>
      <c r="B184" s="101"/>
      <c r="C184" s="101">
        <f t="shared" ref="C184:G184" si="75">C166</f>
        <v>52319.010920957662</v>
      </c>
      <c r="D184" s="101">
        <f t="shared" si="75"/>
        <v>273778.48081702925</v>
      </c>
      <c r="E184" s="101">
        <f t="shared" si="75"/>
        <v>176480.29825616907</v>
      </c>
      <c r="F184" s="101">
        <f t="shared" si="75"/>
        <v>273234.55379014742</v>
      </c>
      <c r="G184" s="101">
        <f t="shared" si="75"/>
        <v>453639.49155312404</v>
      </c>
    </row>
    <row r="185" spans="1:7" x14ac:dyDescent="0.3">
      <c r="A185" s="93" t="s">
        <v>142</v>
      </c>
      <c r="B185" s="100"/>
      <c r="C185" s="100">
        <f t="shared" ref="C185:F185" si="76">C182+C183+C184</f>
        <v>52319.010920957662</v>
      </c>
      <c r="D185" s="100">
        <f t="shared" si="76"/>
        <v>326097.49173798691</v>
      </c>
      <c r="E185" s="100">
        <f t="shared" si="76"/>
        <v>502577.78999415599</v>
      </c>
      <c r="F185" s="100">
        <f t="shared" si="76"/>
        <v>775812.3437843034</v>
      </c>
      <c r="G185" s="100">
        <f>G182+G183+G184</f>
        <v>1229451.8353374274</v>
      </c>
    </row>
    <row r="186" spans="1:7" x14ac:dyDescent="0.3">
      <c r="A186" s="84" t="s">
        <v>143</v>
      </c>
      <c r="B186" s="91"/>
      <c r="C186" s="91">
        <f t="shared" ref="C186:F186" si="77">C185/((C158+C161+C162+C163)/365)</f>
        <v>3.7428343517020815</v>
      </c>
      <c r="D186" s="91">
        <f t="shared" si="77"/>
        <v>19.154100121726447</v>
      </c>
      <c r="E186" s="91">
        <f t="shared" si="77"/>
        <v>25.335949577989293</v>
      </c>
      <c r="F186" s="91">
        <f t="shared" si="77"/>
        <v>35.849216360359677</v>
      </c>
      <c r="G186" s="91">
        <f>G185/((G158+G161+G162+G163)/365)</f>
        <v>54.375634681921071</v>
      </c>
    </row>
    <row r="189" spans="1:7" x14ac:dyDescent="0.3">
      <c r="A189" s="97" t="s">
        <v>161</v>
      </c>
      <c r="B189" s="98"/>
      <c r="C189" s="98">
        <f t="shared" ref="C189:G189" si="78">C107/SUM(C158:C163)</f>
        <v>0.3874026737787607</v>
      </c>
      <c r="D189" s="98">
        <f t="shared" si="78"/>
        <v>0.37841814643775079</v>
      </c>
      <c r="E189" s="98">
        <f t="shared" si="78"/>
        <v>0.38355925436011129</v>
      </c>
      <c r="F189" s="98">
        <f t="shared" si="78"/>
        <v>0.37657959191011348</v>
      </c>
      <c r="G189" s="98">
        <f t="shared" si="78"/>
        <v>0.37933491851706447</v>
      </c>
    </row>
    <row r="190" spans="1:7" x14ac:dyDescent="0.3">
      <c r="A190" s="97" t="s">
        <v>162</v>
      </c>
      <c r="B190" s="98"/>
      <c r="C190" s="98">
        <f t="shared" ref="C190:G190" si="79">SUM(C108:C109)/SUM(C158:C163)</f>
        <v>0.18207925667601751</v>
      </c>
      <c r="D190" s="98">
        <f t="shared" si="79"/>
        <v>0.17974861955793162</v>
      </c>
      <c r="E190" s="98">
        <f t="shared" si="79"/>
        <v>0.18410844209285343</v>
      </c>
      <c r="F190" s="98">
        <f t="shared" si="79"/>
        <v>0.18264110207640502</v>
      </c>
      <c r="G190" s="98">
        <f t="shared" si="79"/>
        <v>0.1858741100733616</v>
      </c>
    </row>
    <row r="191" spans="1:7" x14ac:dyDescent="0.3">
      <c r="A191" s="97" t="s">
        <v>29</v>
      </c>
      <c r="B191" s="98"/>
      <c r="C191" s="98">
        <f t="shared" ref="C191:G191" si="80">C129/SUM(C158:C163)</f>
        <v>2.6263525021174923E-3</v>
      </c>
      <c r="D191" s="98">
        <f t="shared" si="80"/>
        <v>2.5039809649765907E-3</v>
      </c>
      <c r="E191" s="98">
        <f t="shared" si="80"/>
        <v>2.4308250163555842E-3</v>
      </c>
      <c r="F191" s="98">
        <f t="shared" si="80"/>
        <v>2.3496765838690054E-3</v>
      </c>
      <c r="G191" s="98">
        <f t="shared" si="80"/>
        <v>2.3361836742062324E-3</v>
      </c>
    </row>
    <row r="192" spans="1:7" x14ac:dyDescent="0.3">
      <c r="A192" s="97" t="s">
        <v>163</v>
      </c>
      <c r="B192" s="98"/>
      <c r="C192" s="98">
        <f t="shared" ref="C192:G192" si="81">(C128+C138+C139)/SUM(C158:C163)</f>
        <v>7.563493330475593E-2</v>
      </c>
      <c r="D192" s="98">
        <f t="shared" si="81"/>
        <v>7.443657363535669E-2</v>
      </c>
      <c r="E192" s="98">
        <f t="shared" si="81"/>
        <v>7.2266262184106894E-2</v>
      </c>
      <c r="F192" s="98">
        <f t="shared" si="81"/>
        <v>7.2220963823761281E-2</v>
      </c>
      <c r="G192" s="98">
        <f t="shared" si="81"/>
        <v>7.2892432171848917E-2</v>
      </c>
    </row>
    <row r="193" spans="1:7" x14ac:dyDescent="0.3">
      <c r="A193" s="97" t="s">
        <v>164</v>
      </c>
      <c r="B193" s="98"/>
      <c r="C193" s="98">
        <f t="shared" ref="C193:G193" si="82">(C126+C112+C127)/SUM(C158:C163)</f>
        <v>3.4975567462900488E-2</v>
      </c>
      <c r="D193" s="98">
        <f t="shared" si="82"/>
        <v>3.4852968984230716E-2</v>
      </c>
      <c r="E193" s="98">
        <f t="shared" si="82"/>
        <v>3.4587649791739727E-2</v>
      </c>
      <c r="F193" s="98">
        <f t="shared" si="82"/>
        <v>3.5032977804921692E-2</v>
      </c>
      <c r="G193" s="98">
        <f t="shared" si="82"/>
        <v>3.5910121622368854E-2</v>
      </c>
    </row>
    <row r="194" spans="1:7" x14ac:dyDescent="0.3">
      <c r="A194" s="97" t="s">
        <v>165</v>
      </c>
      <c r="B194" s="98"/>
      <c r="C194" s="98">
        <f t="shared" ref="C194:G194" si="83">(C116+C135)/SUM(C158:C163)</f>
        <v>3.5769353107197192E-2</v>
      </c>
      <c r="D194" s="98">
        <f t="shared" si="83"/>
        <v>3.4598708706296076E-2</v>
      </c>
      <c r="E194" s="98">
        <f t="shared" si="83"/>
        <v>3.3838189148131706E-2</v>
      </c>
      <c r="F194" s="98">
        <f t="shared" si="83"/>
        <v>3.4593164145592978E-2</v>
      </c>
      <c r="G194" s="98">
        <f t="shared" si="83"/>
        <v>2.3224004328711204E-2</v>
      </c>
    </row>
    <row r="195" spans="1:7" x14ac:dyDescent="0.3">
      <c r="A195" s="97" t="s">
        <v>166</v>
      </c>
      <c r="B195" s="98"/>
      <c r="C195" s="98">
        <f t="shared" ref="C195:G195" si="84">(C115+C117+C118+C119+C120+C121)/SUM(C158:C163)</f>
        <v>9.6324417961989768E-3</v>
      </c>
      <c r="D195" s="98">
        <f t="shared" si="84"/>
        <v>2.1510097664817544E-2</v>
      </c>
      <c r="E195" s="98">
        <f t="shared" si="84"/>
        <v>2.0846258126057598E-2</v>
      </c>
      <c r="F195" s="98">
        <f t="shared" si="84"/>
        <v>2.0796410152594907E-2</v>
      </c>
      <c r="G195" s="98">
        <f t="shared" si="84"/>
        <v>2.0943741233635998E-2</v>
      </c>
    </row>
    <row r="196" spans="1:7" x14ac:dyDescent="0.3">
      <c r="A196" s="97" t="s">
        <v>167</v>
      </c>
      <c r="B196" s="98"/>
      <c r="C196" s="98">
        <f t="shared" ref="C196:G196" si="85">(SUM(C161:C163)+C143+C156)/SUM(C158:C163)</f>
        <v>0.23290650785942227</v>
      </c>
      <c r="D196" s="98">
        <f t="shared" si="85"/>
        <v>0.23479665365874419</v>
      </c>
      <c r="E196" s="98">
        <f t="shared" si="85"/>
        <v>0.23160288629900067</v>
      </c>
      <c r="F196" s="98">
        <f t="shared" si="85"/>
        <v>0.23931071505427076</v>
      </c>
      <c r="G196" s="98">
        <f t="shared" si="85"/>
        <v>0.24271537861117856</v>
      </c>
    </row>
    <row r="197" spans="1:7" x14ac:dyDescent="0.3">
      <c r="A197" s="97" t="s">
        <v>36</v>
      </c>
      <c r="B197" s="98"/>
      <c r="C197" s="98">
        <f>(C122)/SUM(C158:C163)</f>
        <v>0</v>
      </c>
      <c r="D197" s="98">
        <f>(D122)/SUM(D158:D163)</f>
        <v>0</v>
      </c>
      <c r="E197" s="98">
        <f t="shared" ref="E197:G197" si="86">(E122)/SUM(E158:E163)</f>
        <v>0</v>
      </c>
      <c r="F197" s="98">
        <f t="shared" si="86"/>
        <v>0</v>
      </c>
      <c r="G197" s="98">
        <f t="shared" si="86"/>
        <v>0</v>
      </c>
    </row>
    <row r="198" spans="1:7" x14ac:dyDescent="0.3">
      <c r="A198" s="97" t="s">
        <v>168</v>
      </c>
      <c r="B198" s="98"/>
      <c r="C198" s="98">
        <f t="shared" ref="C198:G198" si="87">C125/SUM(C158:C163)</f>
        <v>4.8999113845475607E-4</v>
      </c>
      <c r="D198" s="98">
        <f t="shared" si="87"/>
        <v>4.0231056635227998E-4</v>
      </c>
      <c r="E198" s="98">
        <f t="shared" si="87"/>
        <v>3.4528764436869089E-4</v>
      </c>
      <c r="F198" s="98">
        <f t="shared" si="87"/>
        <v>3.164973846806311E-4</v>
      </c>
      <c r="G198" s="98">
        <f t="shared" si="87"/>
        <v>3.0292838099147204E-4</v>
      </c>
    </row>
    <row r="199" spans="1:7" x14ac:dyDescent="0.3">
      <c r="A199" s="97" t="s">
        <v>169</v>
      </c>
      <c r="B199" s="98"/>
      <c r="C199" s="98">
        <f t="shared" ref="C199:G199" si="88">(C130+C131)/SUM(C158:C163)</f>
        <v>1.0779805046004633E-3</v>
      </c>
      <c r="D199" s="98">
        <f t="shared" si="88"/>
        <v>4.1212694417127561E-3</v>
      </c>
      <c r="E199" s="98">
        <f t="shared" si="88"/>
        <v>3.6631151845901177E-3</v>
      </c>
      <c r="F199" s="98">
        <f t="shared" si="88"/>
        <v>3.4775015946893239E-3</v>
      </c>
      <c r="G199" s="98">
        <f t="shared" si="88"/>
        <v>3.4474045707209144E-3</v>
      </c>
    </row>
    <row r="200" spans="1:7" x14ac:dyDescent="0.3">
      <c r="A200" s="97" t="s">
        <v>170</v>
      </c>
      <c r="B200" s="98"/>
      <c r="C200" s="98">
        <f t="shared" ref="C200:G200" si="89">(C132+C133+C134+C136+C140)/SUM(C158:C163)</f>
        <v>1.3424973207838788E-2</v>
      </c>
      <c r="D200" s="98">
        <f t="shared" si="89"/>
        <v>1.1041172107198512E-2</v>
      </c>
      <c r="E200" s="98">
        <f t="shared" si="89"/>
        <v>9.8669051967152747E-3</v>
      </c>
      <c r="F200" s="98">
        <f t="shared" si="89"/>
        <v>9.5826194842427055E-3</v>
      </c>
      <c r="G200" s="98">
        <f t="shared" si="89"/>
        <v>9.5313875539470311E-3</v>
      </c>
    </row>
    <row r="201" spans="1:7" x14ac:dyDescent="0.3">
      <c r="A201" s="97" t="s">
        <v>171</v>
      </c>
      <c r="B201" s="98"/>
      <c r="C201" s="98">
        <f t="shared" ref="C201:G201" si="90">(C111+C123+C137+C141+C142+C144+C145+C124)/SUM(C158:C163)</f>
        <v>2.3979968661735313E-2</v>
      </c>
      <c r="D201" s="98">
        <f t="shared" si="90"/>
        <v>2.3569498274632245E-2</v>
      </c>
      <c r="E201" s="98">
        <f t="shared" si="90"/>
        <v>2.2884924955969031E-2</v>
      </c>
      <c r="F201" s="98">
        <f t="shared" si="90"/>
        <v>2.3098779984858243E-2</v>
      </c>
      <c r="G201" s="98">
        <f t="shared" si="90"/>
        <v>2.3487389261964701E-2</v>
      </c>
    </row>
    <row r="202" spans="1:7" x14ac:dyDescent="0.3">
      <c r="A202"/>
      <c r="B202"/>
      <c r="C202"/>
      <c r="D202"/>
      <c r="E202"/>
      <c r="F202"/>
      <c r="G202"/>
    </row>
    <row r="203" spans="1:7" x14ac:dyDescent="0.3">
      <c r="A203"/>
      <c r="B203" s="99"/>
      <c r="C203" s="99">
        <f>SUM(C189:C202)</f>
        <v>0.99999999999999989</v>
      </c>
      <c r="D203" s="99">
        <f t="shared" ref="D203:G203" si="91">SUM(D189:D202)</f>
        <v>1</v>
      </c>
      <c r="E203" s="99">
        <f t="shared" si="91"/>
        <v>1.0000000000000002</v>
      </c>
      <c r="F203" s="99">
        <f t="shared" si="91"/>
        <v>0.99999999999999989</v>
      </c>
      <c r="G203" s="99">
        <f t="shared" si="91"/>
        <v>0.99999999999999978</v>
      </c>
    </row>
  </sheetData>
  <pageMargins left="0.7" right="0.7" top="0.75" bottom="0.75" header="0.3" footer="0.3"/>
  <pageSetup scale="54" orientation="portrait" r:id="rId1"/>
  <rowBreaks count="1" manualBreakCount="1">
    <brk id="8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5:K16"/>
  <sheetViews>
    <sheetView zoomScale="85" zoomScaleNormal="85" workbookViewId="0">
      <selection activeCell="B4" sqref="B4:J17"/>
    </sheetView>
  </sheetViews>
  <sheetFormatPr defaultColWidth="8.88671875" defaultRowHeight="13.8" x14ac:dyDescent="0.25"/>
  <cols>
    <col min="1" max="2" width="8.88671875" style="147"/>
    <col min="3" max="3" width="33.88671875" style="147" customWidth="1"/>
    <col min="4" max="9" width="15.88671875" style="147" customWidth="1"/>
    <col min="10" max="16384" width="8.88671875" style="147"/>
  </cols>
  <sheetData>
    <row r="5" spans="3:11" ht="15" x14ac:dyDescent="0.25">
      <c r="C5" s="198" t="s">
        <v>251</v>
      </c>
      <c r="D5" s="198"/>
      <c r="E5" s="198"/>
      <c r="F5" s="198"/>
      <c r="G5" s="198"/>
      <c r="H5" s="198"/>
      <c r="I5" s="198"/>
    </row>
    <row r="6" spans="3:11" x14ac:dyDescent="0.25">
      <c r="C6" s="191" t="s">
        <v>252</v>
      </c>
      <c r="D6" s="191" t="str">
        <f>'PANN - 6-Year'!B1</f>
        <v>20-21</v>
      </c>
      <c r="E6" s="191" t="str">
        <f>'PANN - 6-Year'!C1</f>
        <v>21-22</v>
      </c>
      <c r="F6" s="191" t="str">
        <f>'PANN - 6-Year'!D1</f>
        <v>22-23</v>
      </c>
      <c r="G6" s="191" t="str">
        <f>'PANN - 6-Year'!E1</f>
        <v>23-24</v>
      </c>
      <c r="H6" s="191" t="str">
        <f>'PANN - 6-Year'!F1</f>
        <v>24-25</v>
      </c>
      <c r="I6" s="191" t="str">
        <f>'PANN - 6-Year'!G1</f>
        <v>25-26</v>
      </c>
    </row>
    <row r="7" spans="3:11" x14ac:dyDescent="0.25">
      <c r="C7" s="166" t="str">
        <f>'PANN - 6-Year'!A161</f>
        <v>Scheduled Lease Payment</v>
      </c>
      <c r="D7" s="194">
        <f>'PANN - 6-Year'!B161</f>
        <v>750000</v>
      </c>
      <c r="E7" s="194">
        <f>'PANN - 6-Year'!C161</f>
        <v>980000</v>
      </c>
      <c r="F7" s="194">
        <f>'PANN - 6-Year'!D161</f>
        <v>1150000</v>
      </c>
      <c r="G7" s="194">
        <f>'PANN - 6-Year'!E161</f>
        <v>1300000</v>
      </c>
      <c r="H7" s="194">
        <f>'PANN - 6-Year'!F161</f>
        <v>1375000</v>
      </c>
      <c r="I7" s="194">
        <f>'PANN - 6-Year'!G161</f>
        <v>1425000</v>
      </c>
      <c r="J7" s="193"/>
      <c r="K7" s="193"/>
    </row>
    <row r="8" spans="3:11" x14ac:dyDescent="0.25">
      <c r="C8" s="166" t="str">
        <f>'PANN - 6-Year'!A143</f>
        <v xml:space="preserve">Facility and School Insurances  </v>
      </c>
      <c r="D8" s="194">
        <f>'PANN - 6-Year'!B143</f>
        <v>30000</v>
      </c>
      <c r="E8" s="194">
        <f>'PANN - 6-Year'!C143</f>
        <v>31500</v>
      </c>
      <c r="F8" s="194">
        <f>'PANN - 6-Year'!D143</f>
        <v>33075</v>
      </c>
      <c r="G8" s="194">
        <f>'PANN - 6-Year'!E143</f>
        <v>34728.75</v>
      </c>
      <c r="H8" s="194">
        <f>'PANN - 6-Year'!F143</f>
        <v>36465.1875</v>
      </c>
      <c r="I8" s="194">
        <f>'PANN - 6-Year'!G143</f>
        <v>38288.446875000001</v>
      </c>
      <c r="J8" s="193"/>
      <c r="K8" s="193"/>
    </row>
    <row r="9" spans="3:11" x14ac:dyDescent="0.25">
      <c r="C9" s="166" t="str">
        <f>'PANN - 6-Year'!A148</f>
        <v>Public Utilities</v>
      </c>
      <c r="D9" s="194">
        <f>'PANN - 6-Year'!B148</f>
        <v>105000</v>
      </c>
      <c r="E9" s="194">
        <f>'PANN - 6-Year'!C148</f>
        <v>125000</v>
      </c>
      <c r="F9" s="194">
        <f>'PANN - 6-Year'!D148</f>
        <v>130000</v>
      </c>
      <c r="G9" s="194">
        <f>'PANN - 6-Year'!E148</f>
        <v>135000</v>
      </c>
      <c r="H9" s="194">
        <f>'PANN - 6-Year'!F148</f>
        <v>140000</v>
      </c>
      <c r="I9" s="194">
        <f>'PANN - 6-Year'!G148</f>
        <v>145000</v>
      </c>
      <c r="J9" s="193"/>
      <c r="K9" s="193"/>
    </row>
    <row r="10" spans="3:11" x14ac:dyDescent="0.25">
      <c r="C10" s="166" t="str">
        <f>'PANN - 6-Year'!A149</f>
        <v>Fire and Security alarms</v>
      </c>
      <c r="D10" s="194">
        <f>'PANN - 6-Year'!B149</f>
        <v>7200</v>
      </c>
      <c r="E10" s="194">
        <f>'PANN - 6-Year'!C149</f>
        <v>7416</v>
      </c>
      <c r="F10" s="194">
        <f>'PANN - 6-Year'!D149</f>
        <v>7638.4800000000005</v>
      </c>
      <c r="G10" s="194">
        <f>'PANN - 6-Year'!E149</f>
        <v>7867.6344000000008</v>
      </c>
      <c r="H10" s="194">
        <f>'PANN - 6-Year'!F149</f>
        <v>8103.6634320000012</v>
      </c>
      <c r="I10" s="194">
        <f>'PANN - 6-Year'!G149</f>
        <v>8346.7733349600021</v>
      </c>
      <c r="J10" s="193"/>
      <c r="K10" s="193"/>
    </row>
    <row r="11" spans="3:11" x14ac:dyDescent="0.25">
      <c r="C11" s="166" t="str">
        <f>'PANN - 6-Year'!A150</f>
        <v>Contracted Janitorial</v>
      </c>
      <c r="D11" s="194">
        <f>'PANN - 6-Year'!B150</f>
        <v>105050</v>
      </c>
      <c r="E11" s="194">
        <f>'PANN - 6-Year'!C150</f>
        <v>106050</v>
      </c>
      <c r="F11" s="194">
        <f>'PANN - 6-Year'!D150</f>
        <v>107150</v>
      </c>
      <c r="G11" s="194">
        <f>'PANN - 6-Year'!E150</f>
        <v>107850</v>
      </c>
      <c r="H11" s="194">
        <f>'PANN - 6-Year'!F150</f>
        <v>109350</v>
      </c>
      <c r="I11" s="194">
        <f>'PANN - 6-Year'!G150</f>
        <v>110850</v>
      </c>
      <c r="J11" s="193"/>
      <c r="K11" s="193"/>
    </row>
    <row r="12" spans="3:11" x14ac:dyDescent="0.25">
      <c r="C12" s="166" t="str">
        <f>'PANN - 6-Year'!A151</f>
        <v>Custodial Supplies</v>
      </c>
      <c r="D12" s="194">
        <f>'PANN - 6-Year'!B151</f>
        <v>10320</v>
      </c>
      <c r="E12" s="194">
        <f>'PANN - 6-Year'!C151</f>
        <v>12105</v>
      </c>
      <c r="F12" s="194">
        <f>'PANN - 6-Year'!D151</f>
        <v>13425</v>
      </c>
      <c r="G12" s="194">
        <f>'PANN - 6-Year'!E151</f>
        <v>14355</v>
      </c>
      <c r="H12" s="194">
        <f>'PANN - 6-Year'!F151</f>
        <v>14820</v>
      </c>
      <c r="I12" s="194">
        <f>'PANN - 6-Year'!G151</f>
        <v>14820</v>
      </c>
      <c r="J12" s="193"/>
      <c r="K12" s="193"/>
    </row>
    <row r="13" spans="3:11" x14ac:dyDescent="0.25">
      <c r="C13" s="166" t="str">
        <f>'PANN - 6-Year'!A152</f>
        <v>Facility Maintenance</v>
      </c>
      <c r="D13" s="194">
        <f>'PANN - 6-Year'!B152</f>
        <v>26500</v>
      </c>
      <c r="E13" s="194">
        <f>'PANN - 6-Year'!C152</f>
        <v>32500</v>
      </c>
      <c r="F13" s="194">
        <f>'PANN - 6-Year'!D152</f>
        <v>40000</v>
      </c>
      <c r="G13" s="194">
        <f>'PANN - 6-Year'!E152</f>
        <v>43000</v>
      </c>
      <c r="H13" s="194">
        <f>'PANN - 6-Year'!F152</f>
        <v>50000</v>
      </c>
      <c r="I13" s="194">
        <f>'PANN - 6-Year'!G152</f>
        <v>50000</v>
      </c>
      <c r="J13" s="193"/>
      <c r="K13" s="193"/>
    </row>
    <row r="14" spans="3:11" x14ac:dyDescent="0.25">
      <c r="C14" s="166" t="str">
        <f>'PANN - 6-Year'!A153</f>
        <v>Snow Removal</v>
      </c>
      <c r="D14" s="194">
        <f>'PANN - 6-Year'!B153</f>
        <v>12000</v>
      </c>
      <c r="E14" s="194">
        <f>'PANN - 6-Year'!C153</f>
        <v>12600</v>
      </c>
      <c r="F14" s="194">
        <f>'PANN - 6-Year'!D153</f>
        <v>13230</v>
      </c>
      <c r="G14" s="194">
        <f>'PANN - 6-Year'!E153</f>
        <v>13891.5</v>
      </c>
      <c r="H14" s="194">
        <f>'PANN - 6-Year'!F153</f>
        <v>14586.075000000001</v>
      </c>
      <c r="I14" s="194">
        <f>'PANN - 6-Year'!G153</f>
        <v>15315.378750000002</v>
      </c>
      <c r="J14" s="193"/>
      <c r="K14" s="193"/>
    </row>
    <row r="15" spans="3:11" x14ac:dyDescent="0.25">
      <c r="C15" s="166" t="str">
        <f>'PANN - 6-Year'!A154</f>
        <v>Lawn Care</v>
      </c>
      <c r="D15" s="194">
        <f>'PANN - 6-Year'!B154</f>
        <v>12000</v>
      </c>
      <c r="E15" s="194">
        <f>'PANN - 6-Year'!C154</f>
        <v>12600</v>
      </c>
      <c r="F15" s="194">
        <f>'PANN - 6-Year'!D154</f>
        <v>13230</v>
      </c>
      <c r="G15" s="194">
        <f>'PANN - 6-Year'!E154</f>
        <v>13891.5</v>
      </c>
      <c r="H15" s="194">
        <f>'PANN - 6-Year'!F154</f>
        <v>14586.075000000001</v>
      </c>
      <c r="I15" s="194">
        <f>'PANN - 6-Year'!G154</f>
        <v>15315.378750000002</v>
      </c>
      <c r="J15" s="193"/>
      <c r="K15" s="193"/>
    </row>
    <row r="16" spans="3:11" x14ac:dyDescent="0.25">
      <c r="C16" s="166" t="str">
        <f>'PANN - 6-Year'!A155</f>
        <v>AC Maintenance &amp; Repair</v>
      </c>
      <c r="D16" s="194">
        <f>'PANN - 6-Year'!B155</f>
        <v>13000</v>
      </c>
      <c r="E16" s="194">
        <f>'PANN - 6-Year'!C155</f>
        <v>14000</v>
      </c>
      <c r="F16" s="194">
        <f>'PANN - 6-Year'!D155</f>
        <v>15000</v>
      </c>
      <c r="G16" s="194">
        <f>'PANN - 6-Year'!E155</f>
        <v>16000</v>
      </c>
      <c r="H16" s="194">
        <f>'PANN - 6-Year'!F155</f>
        <v>17000</v>
      </c>
      <c r="I16" s="194">
        <f>'PANN - 6-Year'!G155</f>
        <v>18000</v>
      </c>
    </row>
  </sheetData>
  <mergeCells count="1">
    <mergeCell ref="C5:I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PANN - 6-Year</vt:lpstr>
      <vt:lpstr>FFE Summary</vt:lpstr>
      <vt:lpstr>Staff per School</vt:lpstr>
      <vt:lpstr>PANN 125c - 5-Year </vt:lpstr>
      <vt:lpstr>Faciltiy Expenses</vt:lpstr>
      <vt:lpstr>'PANN - 6-Year'!Print_Area</vt:lpstr>
      <vt:lpstr>'PANN 125c - 5-Year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sprty</cp:lastModifiedBy>
  <cp:lastPrinted>2019-04-16T21:16:11Z</cp:lastPrinted>
  <dcterms:created xsi:type="dcterms:W3CDTF">2019-03-26T19:21:30Z</dcterms:created>
  <dcterms:modified xsi:type="dcterms:W3CDTF">2019-12-11T00:08:28Z</dcterms:modified>
</cp:coreProperties>
</file>