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Pocrnich\Box\Clients\Nevada Clients\Cactus Park Elementary\BUDGETS\FY24\"/>
    </mc:Choice>
  </mc:AlternateContent>
  <xr:revisionPtr revIDLastSave="0" documentId="8_{FD1870EF-DCEC-41F1-9E86-541DB58FDB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Facilities!$A$1:$J$97</definedName>
    <definedName name="_xlnm.Print_Area" localSheetId="0">General!$A$1:$J$62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C8" i="2"/>
  <c r="J79" i="2"/>
  <c r="I79" i="2"/>
  <c r="H79" i="2"/>
  <c r="G79" i="2"/>
  <c r="F79" i="2"/>
  <c r="G26" i="2"/>
  <c r="H26" i="2" s="1"/>
  <c r="I26" i="2" s="1"/>
  <c r="J26" i="2" s="1"/>
  <c r="F94" i="2"/>
  <c r="E94" i="2"/>
  <c r="D94" i="2"/>
  <c r="C94" i="2"/>
  <c r="F67" i="2"/>
  <c r="G67" i="2" s="1"/>
  <c r="H67" i="2" s="1"/>
  <c r="I67" i="2" s="1"/>
  <c r="J67" i="2" s="1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56" i="4"/>
  <c r="C56" i="4"/>
  <c r="B50" i="4"/>
  <c r="B49" i="4"/>
  <c r="E42" i="4"/>
  <c r="J41" i="4"/>
  <c r="I41" i="4"/>
  <c r="H41" i="4"/>
  <c r="H42" i="4" s="1"/>
  <c r="G41" i="4"/>
  <c r="G50" i="4" s="1"/>
  <c r="F41" i="4"/>
  <c r="E41" i="4"/>
  <c r="D41" i="4"/>
  <c r="D42" i="4" s="1"/>
  <c r="C41" i="4"/>
  <c r="C42" i="4" s="1"/>
  <c r="B40" i="4"/>
  <c r="B36" i="4"/>
  <c r="E49" i="4"/>
  <c r="C29" i="4"/>
  <c r="C30" i="4" s="1"/>
  <c r="J18" i="4"/>
  <c r="J19" i="4" s="1"/>
  <c r="I18" i="4"/>
  <c r="I19" i="4" s="1"/>
  <c r="H18" i="4"/>
  <c r="H19" i="4" s="1"/>
  <c r="G18" i="4"/>
  <c r="G19" i="4" s="1"/>
  <c r="F18" i="4"/>
  <c r="F19" i="4" s="1"/>
  <c r="E18" i="4"/>
  <c r="E19" i="4" s="1"/>
  <c r="D18" i="4"/>
  <c r="D19" i="4" s="1"/>
  <c r="C18" i="4"/>
  <c r="C19" i="4" s="1"/>
  <c r="J12" i="4"/>
  <c r="I12" i="4"/>
  <c r="H12" i="4"/>
  <c r="G12" i="4"/>
  <c r="F12" i="4"/>
  <c r="E12" i="4"/>
  <c r="D12" i="4"/>
  <c r="C12" i="4"/>
  <c r="F7" i="4"/>
  <c r="D7" i="4"/>
  <c r="C7" i="4" s="1"/>
  <c r="G94" i="2" l="1"/>
  <c r="H94" i="2"/>
  <c r="G7" i="4"/>
  <c r="H7" i="4" s="1"/>
  <c r="I7" i="4" s="1"/>
  <c r="J7" i="4" s="1"/>
  <c r="C32" i="4"/>
  <c r="D29" i="4"/>
  <c r="E47" i="4"/>
  <c r="I47" i="4"/>
  <c r="H50" i="4"/>
  <c r="D47" i="4"/>
  <c r="C49" i="4"/>
  <c r="H47" i="4"/>
  <c r="C50" i="4"/>
  <c r="C51" i="4" s="1"/>
  <c r="J45" i="4"/>
  <c r="D50" i="4"/>
  <c r="D51" i="4" s="1"/>
  <c r="E45" i="4"/>
  <c r="I45" i="4"/>
  <c r="C45" i="4"/>
  <c r="G45" i="4"/>
  <c r="G46" i="4"/>
  <c r="D45" i="4"/>
  <c r="H45" i="4"/>
  <c r="H46" i="4"/>
  <c r="J46" i="4"/>
  <c r="J47" i="4"/>
  <c r="G47" i="4"/>
  <c r="D49" i="4"/>
  <c r="F46" i="4"/>
  <c r="F47" i="4"/>
  <c r="J42" i="4"/>
  <c r="F42" i="4"/>
  <c r="F45" i="4"/>
  <c r="J50" i="4"/>
  <c r="E50" i="4"/>
  <c r="E51" i="4" s="1"/>
  <c r="E46" i="4"/>
  <c r="I50" i="4"/>
  <c r="I46" i="4"/>
  <c r="I42" i="4"/>
  <c r="F50" i="4"/>
  <c r="G42" i="4"/>
  <c r="J32" i="2"/>
  <c r="J40" i="2" s="1"/>
  <c r="I32" i="2"/>
  <c r="I40" i="2" s="1"/>
  <c r="H32" i="2"/>
  <c r="H40" i="2" s="1"/>
  <c r="G32" i="2"/>
  <c r="G40" i="2" s="1"/>
  <c r="F32" i="2"/>
  <c r="E32" i="2"/>
  <c r="E40" i="2" s="1"/>
  <c r="E41" i="2" s="1"/>
  <c r="E42" i="2" s="1"/>
  <c r="D32" i="2"/>
  <c r="D40" i="2" s="1"/>
  <c r="D41" i="2" s="1"/>
  <c r="D42" i="2" s="1"/>
  <c r="F68" i="2"/>
  <c r="E68" i="2"/>
  <c r="D68" i="2"/>
  <c r="J68" i="2"/>
  <c r="C68" i="2"/>
  <c r="F40" i="2" l="1"/>
  <c r="F41" i="2" s="1"/>
  <c r="F42" i="2" s="1"/>
  <c r="F58" i="2"/>
  <c r="G58" i="2" s="1"/>
  <c r="H58" i="2" s="1"/>
  <c r="I58" i="2" s="1"/>
  <c r="J58" i="2" s="1"/>
  <c r="I94" i="2"/>
  <c r="J94" i="2"/>
  <c r="G68" i="2"/>
  <c r="H68" i="2"/>
  <c r="I68" i="2"/>
  <c r="G41" i="2"/>
  <c r="G42" i="2" s="1"/>
  <c r="D32" i="4"/>
  <c r="D30" i="4"/>
  <c r="E29" i="4"/>
  <c r="G29" i="4"/>
  <c r="G49" i="4"/>
  <c r="G51" i="4" s="1"/>
  <c r="C32" i="2"/>
  <c r="C57" i="2" l="1"/>
  <c r="C40" i="2"/>
  <c r="C41" i="2" s="1"/>
  <c r="C42" i="2" s="1"/>
  <c r="H41" i="2"/>
  <c r="H42" i="2" s="1"/>
  <c r="G32" i="4"/>
  <c r="G54" i="4" s="1"/>
  <c r="G30" i="4"/>
  <c r="E32" i="4"/>
  <c r="E30" i="4"/>
  <c r="F29" i="4"/>
  <c r="F49" i="4"/>
  <c r="F51" i="4" s="1"/>
  <c r="F53" i="2"/>
  <c r="G59" i="4" l="1"/>
  <c r="G53" i="4"/>
  <c r="G58" i="4" s="1"/>
  <c r="D57" i="2"/>
  <c r="C75" i="2"/>
  <c r="C77" i="2" s="1"/>
  <c r="C79" i="2" s="1"/>
  <c r="J41" i="2"/>
  <c r="J42" i="2" s="1"/>
  <c r="I41" i="2"/>
  <c r="I42" i="2" s="1"/>
  <c r="F32" i="4"/>
  <c r="F33" i="4" s="1"/>
  <c r="G33" i="4" s="1"/>
  <c r="F30" i="4"/>
  <c r="E59" i="4"/>
  <c r="E53" i="4"/>
  <c r="E58" i="4" s="1"/>
  <c r="E54" i="4"/>
  <c r="H49" i="4"/>
  <c r="H51" i="4" s="1"/>
  <c r="H29" i="4"/>
  <c r="G92" i="2"/>
  <c r="F92" i="2"/>
  <c r="E92" i="2"/>
  <c r="D92" i="2"/>
  <c r="C92" i="2"/>
  <c r="D91" i="2"/>
  <c r="C91" i="2"/>
  <c r="E60" i="2"/>
  <c r="E70" i="2" s="1"/>
  <c r="D60" i="2"/>
  <c r="D70" i="2" s="1"/>
  <c r="C60" i="2"/>
  <c r="C70" i="2" s="1"/>
  <c r="E84" i="2"/>
  <c r="E86" i="2" s="1"/>
  <c r="D84" i="2"/>
  <c r="D86" i="2" s="1"/>
  <c r="C84" i="2"/>
  <c r="C86" i="2" s="1"/>
  <c r="F84" i="2"/>
  <c r="F86" i="2" s="1"/>
  <c r="B58" i="2"/>
  <c r="B66" i="2" s="1"/>
  <c r="B125" i="2"/>
  <c r="C83" i="2"/>
  <c r="C85" i="2" s="1"/>
  <c r="J27" i="2"/>
  <c r="I27" i="2"/>
  <c r="H27" i="2"/>
  <c r="G27" i="2"/>
  <c r="F27" i="2"/>
  <c r="E27" i="2"/>
  <c r="D27" i="2"/>
  <c r="C27" i="2"/>
  <c r="B139" i="2"/>
  <c r="B138" i="2"/>
  <c r="G60" i="4" l="1"/>
  <c r="G55" i="4"/>
  <c r="G56" i="4" s="1"/>
  <c r="E57" i="2"/>
  <c r="D75" i="2"/>
  <c r="D83" i="2"/>
  <c r="D85" i="2" s="1"/>
  <c r="H32" i="4"/>
  <c r="H53" i="4" s="1"/>
  <c r="H58" i="4" s="1"/>
  <c r="H30" i="4"/>
  <c r="E55" i="4"/>
  <c r="E56" i="4" s="1"/>
  <c r="F53" i="4"/>
  <c r="F58" i="4" s="1"/>
  <c r="F59" i="4"/>
  <c r="F54" i="4"/>
  <c r="E60" i="4"/>
  <c r="I49" i="4"/>
  <c r="I51" i="4" s="1"/>
  <c r="I29" i="4"/>
  <c r="H54" i="4"/>
  <c r="H59" i="4"/>
  <c r="G84" i="2"/>
  <c r="G86" i="2" s="1"/>
  <c r="G53" i="2"/>
  <c r="I53" i="2"/>
  <c r="H53" i="2"/>
  <c r="J53" i="2"/>
  <c r="B57" i="2"/>
  <c r="B65" i="2" s="1"/>
  <c r="H33" i="4" l="1"/>
  <c r="D77" i="2"/>
  <c r="D79" i="2" s="1"/>
  <c r="F57" i="2"/>
  <c r="E75" i="2"/>
  <c r="E83" i="2"/>
  <c r="E85" i="2" s="1"/>
  <c r="E91" i="2"/>
  <c r="F55" i="4"/>
  <c r="F56" i="4" s="1"/>
  <c r="I32" i="4"/>
  <c r="I54" i="4" s="1"/>
  <c r="I30" i="4"/>
  <c r="F60" i="4"/>
  <c r="H55" i="4"/>
  <c r="H56" i="4" s="1"/>
  <c r="J49" i="4"/>
  <c r="J51" i="4" s="1"/>
  <c r="J29" i="4"/>
  <c r="H60" i="4"/>
  <c r="H84" i="2"/>
  <c r="H86" i="2" s="1"/>
  <c r="H92" i="2"/>
  <c r="C14" i="3"/>
  <c r="I33" i="4" l="1"/>
  <c r="E77" i="2"/>
  <c r="E79" i="2" s="1"/>
  <c r="G57" i="2"/>
  <c r="F83" i="2"/>
  <c r="F85" i="2" s="1"/>
  <c r="F60" i="2"/>
  <c r="F91" i="2"/>
  <c r="J32" i="4"/>
  <c r="J53" i="4" s="1"/>
  <c r="J58" i="4" s="1"/>
  <c r="J30" i="4"/>
  <c r="I53" i="4"/>
  <c r="I58" i="4" s="1"/>
  <c r="I59" i="4"/>
  <c r="I92" i="2"/>
  <c r="I84" i="2"/>
  <c r="I86" i="2" s="1"/>
  <c r="J92" i="2"/>
  <c r="J84" i="2"/>
  <c r="J86" i="2" s="1"/>
  <c r="D44" i="2"/>
  <c r="J59" i="4" l="1"/>
  <c r="J54" i="4"/>
  <c r="J33" i="4"/>
  <c r="I55" i="4"/>
  <c r="I56" i="4" s="1"/>
  <c r="H57" i="2"/>
  <c r="G83" i="2"/>
  <c r="G85" i="2" s="1"/>
  <c r="G91" i="2"/>
  <c r="G60" i="2"/>
  <c r="G70" i="2" s="1"/>
  <c r="F61" i="2"/>
  <c r="F70" i="2"/>
  <c r="F71" i="2" s="1"/>
  <c r="J55" i="4"/>
  <c r="J56" i="4" s="1"/>
  <c r="I60" i="4"/>
  <c r="J60" i="4"/>
  <c r="G71" i="2" l="1"/>
  <c r="G61" i="2"/>
  <c r="I57" i="2"/>
  <c r="H83" i="2"/>
  <c r="H85" i="2" s="1"/>
  <c r="H60" i="2"/>
  <c r="H70" i="2" s="1"/>
  <c r="H9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45" i="2"/>
  <c r="C145" i="2"/>
  <c r="J130" i="2"/>
  <c r="I130" i="2"/>
  <c r="H130" i="2"/>
  <c r="G130" i="2"/>
  <c r="G131" i="2" s="1"/>
  <c r="F130" i="2"/>
  <c r="E130" i="2"/>
  <c r="E131" i="2" s="1"/>
  <c r="D130" i="2"/>
  <c r="D131" i="2" s="1"/>
  <c r="C130" i="2"/>
  <c r="B129" i="2"/>
  <c r="C44" i="2"/>
  <c r="J33" i="2"/>
  <c r="J34" i="2" s="1"/>
  <c r="I33" i="2"/>
  <c r="I34" i="2" s="1"/>
  <c r="H33" i="2"/>
  <c r="H34" i="2" s="1"/>
  <c r="G33" i="2"/>
  <c r="G34" i="2" s="1"/>
  <c r="F33" i="2"/>
  <c r="F34" i="2" s="1"/>
  <c r="E33" i="2"/>
  <c r="E34" i="2" s="1"/>
  <c r="D33" i="2"/>
  <c r="D34" i="2" s="1"/>
  <c r="C33" i="2"/>
  <c r="C34" i="2" s="1"/>
  <c r="F22" i="2"/>
  <c r="F74" i="2" s="1"/>
  <c r="D22" i="2"/>
  <c r="C22" i="2" s="1"/>
  <c r="J57" i="2" l="1"/>
  <c r="I83" i="2"/>
  <c r="I85" i="2" s="1"/>
  <c r="I91" i="2"/>
  <c r="I60" i="2"/>
  <c r="I70" i="2" s="1"/>
  <c r="H61" i="2"/>
  <c r="H71" i="2"/>
  <c r="E74" i="2"/>
  <c r="D74" i="2" s="1"/>
  <c r="C74" i="2" s="1"/>
  <c r="G74" i="2"/>
  <c r="H74" i="2" s="1"/>
  <c r="I74" i="2" s="1"/>
  <c r="J74" i="2" s="1"/>
  <c r="F82" i="2"/>
  <c r="F64" i="2"/>
  <c r="C139" i="2"/>
  <c r="C140" i="2" s="1"/>
  <c r="C131" i="2"/>
  <c r="E89" i="2"/>
  <c r="E88" i="2"/>
  <c r="I88" i="2"/>
  <c r="I89" i="2"/>
  <c r="F89" i="2"/>
  <c r="F88" i="2"/>
  <c r="J88" i="2"/>
  <c r="J89" i="2"/>
  <c r="G89" i="2"/>
  <c r="G88" i="2"/>
  <c r="C88" i="2"/>
  <c r="C89" i="2"/>
  <c r="D89" i="2"/>
  <c r="D88" i="2"/>
  <c r="H89" i="2"/>
  <c r="H88" i="2"/>
  <c r="H139" i="2"/>
  <c r="H131" i="2"/>
  <c r="I139" i="2"/>
  <c r="I131" i="2"/>
  <c r="D138" i="2"/>
  <c r="F139" i="2"/>
  <c r="F131" i="2"/>
  <c r="J139" i="2"/>
  <c r="J131" i="2"/>
  <c r="H138" i="2"/>
  <c r="G136" i="2"/>
  <c r="G139" i="2"/>
  <c r="E138" i="2"/>
  <c r="D136" i="2"/>
  <c r="D139" i="2"/>
  <c r="D140" i="2" s="1"/>
  <c r="F138" i="2"/>
  <c r="E136" i="2"/>
  <c r="E139" i="2"/>
  <c r="E140" i="2" s="1"/>
  <c r="C138" i="2"/>
  <c r="G138" i="2"/>
  <c r="F134" i="2"/>
  <c r="F135" i="2"/>
  <c r="J134" i="2"/>
  <c r="J135" i="2"/>
  <c r="I135" i="2"/>
  <c r="G134" i="2"/>
  <c r="G135" i="2"/>
  <c r="E135" i="2"/>
  <c r="H135" i="2"/>
  <c r="I136" i="2"/>
  <c r="H136" i="2"/>
  <c r="F136" i="2"/>
  <c r="J136" i="2"/>
  <c r="G22" i="2"/>
  <c r="H22" i="2" s="1"/>
  <c r="I22" i="2" s="1"/>
  <c r="J22" i="2" s="1"/>
  <c r="F49" i="2"/>
  <c r="F56" i="2"/>
  <c r="E56" i="2" s="1"/>
  <c r="D56" i="2" s="1"/>
  <c r="C56" i="2" s="1"/>
  <c r="H44" i="2"/>
  <c r="I44" i="2"/>
  <c r="J44" i="2"/>
  <c r="J143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E44" i="2"/>
  <c r="E143" i="2" s="1"/>
  <c r="C134" i="2"/>
  <c r="F44" i="2"/>
  <c r="C33" i="3"/>
  <c r="C51" i="3" s="1"/>
  <c r="C35" i="3"/>
  <c r="D134" i="2"/>
  <c r="G44" i="2"/>
  <c r="G148" i="2" s="1"/>
  <c r="F52" i="3"/>
  <c r="D52" i="3"/>
  <c r="D35" i="3"/>
  <c r="E52" i="3"/>
  <c r="D37" i="3"/>
  <c r="D33" i="3"/>
  <c r="H134" i="2"/>
  <c r="E134" i="2"/>
  <c r="I134" i="2"/>
  <c r="I138" i="2" l="1"/>
  <c r="I71" i="2"/>
  <c r="I61" i="2"/>
  <c r="J83" i="2"/>
  <c r="J85" i="2" s="1"/>
  <c r="J91" i="2"/>
  <c r="J60" i="2"/>
  <c r="J142" i="2" s="1"/>
  <c r="J147" i="2" s="1"/>
  <c r="F143" i="2"/>
  <c r="F45" i="2"/>
  <c r="G45" i="2" s="1"/>
  <c r="H45" i="2" s="1"/>
  <c r="I45" i="2" s="1"/>
  <c r="J45" i="2" s="1"/>
  <c r="G64" i="2"/>
  <c r="H64" i="2" s="1"/>
  <c r="I64" i="2" s="1"/>
  <c r="J64" i="2" s="1"/>
  <c r="E64" i="2"/>
  <c r="D64" i="2" s="1"/>
  <c r="C64" i="2" s="1"/>
  <c r="E82" i="2"/>
  <c r="D82" i="2" s="1"/>
  <c r="C82" i="2" s="1"/>
  <c r="G82" i="2"/>
  <c r="H82" i="2" s="1"/>
  <c r="I82" i="2" s="1"/>
  <c r="J82" i="2" s="1"/>
  <c r="F51" i="3"/>
  <c r="H140" i="2"/>
  <c r="I140" i="2"/>
  <c r="F140" i="2"/>
  <c r="G140" i="2"/>
  <c r="G142" i="2"/>
  <c r="G147" i="2" s="1"/>
  <c r="G149" i="2" s="1"/>
  <c r="F142" i="2"/>
  <c r="F147" i="2" s="1"/>
  <c r="G143" i="2"/>
  <c r="E49" i="2"/>
  <c r="D49" i="2" s="1"/>
  <c r="C49" i="2" s="1"/>
  <c r="G49" i="2"/>
  <c r="H49" i="2" s="1"/>
  <c r="I49" i="2" s="1"/>
  <c r="J49" i="2" s="1"/>
  <c r="F148" i="2"/>
  <c r="J148" i="2"/>
  <c r="I143" i="2"/>
  <c r="I142" i="2"/>
  <c r="I147" i="2" s="1"/>
  <c r="H143" i="2"/>
  <c r="H142" i="2"/>
  <c r="H147" i="2" s="1"/>
  <c r="I148" i="2"/>
  <c r="E148" i="2"/>
  <c r="H148" i="2"/>
  <c r="E142" i="2"/>
  <c r="E147" i="2" s="1"/>
  <c r="G51" i="3"/>
  <c r="E51" i="3"/>
  <c r="H51" i="3"/>
  <c r="G56" i="2"/>
  <c r="H56" i="2" s="1"/>
  <c r="I56" i="2" s="1"/>
  <c r="J56" i="2" s="1"/>
  <c r="D51" i="3"/>
  <c r="J61" i="2" l="1"/>
  <c r="J70" i="2"/>
  <c r="J138" i="2"/>
  <c r="J140" i="2" s="1"/>
  <c r="J71" i="2"/>
  <c r="F144" i="2"/>
  <c r="F145" i="2" s="1"/>
  <c r="F149" i="2"/>
  <c r="I144" i="2"/>
  <c r="I145" i="2" s="1"/>
  <c r="G144" i="2"/>
  <c r="G145" i="2" s="1"/>
  <c r="H149" i="2"/>
  <c r="E149" i="2"/>
  <c r="J149" i="2"/>
  <c r="I149" i="2"/>
  <c r="H144" i="2"/>
  <c r="H145" i="2" s="1"/>
  <c r="J144" i="2"/>
  <c r="J145" i="2" s="1"/>
  <c r="E144" i="2"/>
  <c r="E145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A369EEE6-F000-42E8-A4B9-3DC2CED4CA94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4" authorId="0" shapeId="0" xr:uid="{29E44944-B11D-445A-A508-242CFA74496E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3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4314413F-91C0-42EF-AAEE-8BB8DB5CF216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<sst xmlns="http://schemas.openxmlformats.org/spreadsheetml/2006/main" count="417" uniqueCount="210">
  <si>
    <t>Enrollment Pro Forma Fiscal Impact</t>
  </si>
  <si>
    <t>School Name</t>
  </si>
  <si>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</si>
  <si>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</si>
  <si>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</si>
  <si>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</si>
  <si>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</si>
  <si>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</si>
  <si>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</si>
  <si>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</si>
  <si>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</si>
  <si>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</si>
  <si>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</si>
  <si>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</si>
  <si>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</si>
  <si>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</si>
  <si>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</si>
  <si>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</si>
  <si>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</si>
  <si>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&lt;"Total Expenses" is fine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</si>
  <si>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</si>
  <si>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</si>
  <si>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</si>
  <si>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</si>
  <si>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</si>
  <si>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</si>
  <si>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</si>
  <si>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</si>
  <si>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</si>
  <si>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</si>
  <si>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</si>
  <si>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</si>
  <si>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</si>
  <si>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</si>
  <si>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</si>
  <si>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</si>
  <si>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</si>
  <si>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</si>
  <si>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Overwrite the above test numbers</t>
  </si>
  <si>
    <t>Pro Forma Fiscal Impact Analysis</t>
  </si>
  <si>
    <t xml:space="preserve"> </t>
  </si>
  <si>
    <t>Pro Forma</t>
  </si>
  <si>
    <t>Final</t>
  </si>
  <si>
    <t>Notes</t>
  </si>
  <si>
    <t>Land acquired (acres)</t>
  </si>
  <si>
    <t>Land cost</t>
  </si>
  <si>
    <t>Land cost/sf</t>
  </si>
  <si>
    <t>Building Improvements (sf)</t>
  </si>
  <si>
    <t>Conditioned space</t>
  </si>
  <si>
    <t>Interest rate (%):</t>
  </si>
  <si>
    <t>Term of payoff (years)</t>
  </si>
  <si>
    <t>Asset value loan amount</t>
  </si>
  <si>
    <t>Professional fees</t>
  </si>
  <si>
    <t>Other (explain in notes)</t>
  </si>
  <si>
    <t>Loan(/Bond) Amount</t>
  </si>
  <si>
    <t>Estimated annual payments</t>
  </si>
  <si>
    <t>(Include amortization schedule)</t>
  </si>
  <si>
    <t>Initial project plan period</t>
  </si>
  <si>
    <t>Enter the applicable School Year Ending in E7</t>
  </si>
  <si>
    <t>Enrollment, Actual/Planned</t>
  </si>
  <si>
    <t>Revenues (actual/estimate)</t>
  </si>
  <si>
    <t>Expenses (actual/estimate) --(Facility leasing/acquisition, maintenance expenses below)</t>
  </si>
  <si>
    <t>Interest expenses</t>
  </si>
  <si>
    <t>Facility Acquisition</t>
  </si>
  <si>
    <t>Plan Yr 1</t>
  </si>
  <si>
    <t>Square Footage</t>
  </si>
  <si>
    <t>Current facility leased</t>
  </si>
  <si>
    <t>Proposed facility to acquire</t>
  </si>
  <si>
    <t>Change in square footage</t>
  </si>
  <si>
    <t>Payments /</t>
  </si>
  <si>
    <t>Lease/Mortgage Payments</t>
  </si>
  <si>
    <t>Savings (Cost increase)/yr</t>
  </si>
  <si>
    <t>Cumulative Savings (Costs)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</si>
  <si>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</si>
  <si>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</si>
  <si>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</si>
  <si>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</si>
  <si>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</si>
  <si>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</si>
  <si>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</si>
  <si>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</si>
  <si>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</si>
  <si>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</si>
  <si>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</si>
  <si>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</si>
  <si>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</si>
  <si>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</si>
  <si>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</si>
  <si>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</si>
  <si>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</si>
  <si>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</si>
  <si>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</si>
  <si>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</si>
  <si>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</si>
  <si>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</si>
  <si>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</si>
  <si>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</si>
  <si>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</si>
  <si>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</si>
  <si>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</si>
  <si>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</si>
  <si>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</si>
  <si>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</si>
  <si>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</si>
  <si>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</si>
  <si>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</si>
  <si>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</si>
  <si>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</si>
  <si>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</si>
  <si>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</si>
  <si>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</si>
  <si>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</si>
  <si>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</si>
  <si>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</si>
  <si>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</si>
  <si>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</si>
  <si>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</si>
  <si>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</si>
  <si>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</si>
  <si>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</si>
  <si>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</si>
  <si>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</si>
  <si>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</si>
  <si>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</si>
  <si>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</si>
  <si>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</si>
  <si>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</si>
  <si>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</si>
  <si>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</si>
  <si>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</si>
  <si>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</si>
  <si>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</si>
  <si>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</si>
  <si>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</si>
  <si>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</si>
  <si>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</si>
  <si>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</si>
  <si>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</si>
  <si>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</si>
  <si>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</si>
  <si>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</si>
  <si>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</si>
  <si>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</si>
  <si>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</si>
  <si>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</si>
  <si>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</si>
  <si>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</si>
  <si>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</si>
  <si>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</si>
  <si>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</si>
  <si>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</si>
  <si>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</si>
  <si>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</si>
  <si>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</si>
  <si>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</si>
  <si>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</si>
  <si>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</si>
  <si>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</si>
  <si>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</si>
  <si>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</si>
  <si>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</si>
  <si>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</si>
  <si>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</si>
  <si>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</si>
  <si>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</si>
  <si>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</si>
  <si>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</si>
  <si>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</si>
  <si>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</si>
  <si>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</si>
  <si>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</si>
  <si>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</si>
  <si>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</si>
  <si>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</si>
  <si>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</si>
  <si>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</si>
  <si>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</si>
  <si>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</si>
  <si>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</si>
  <si>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</si>
  <si>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</si>
  <si>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</si>
  <si>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</si>
  <si>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</si>
  <si>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</si>
  <si>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</si>
  <si>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</si>
  <si>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</si>
  <si>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</si>
  <si>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</si>
  <si>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</si>
  <si>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</si>
  <si>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</si>
  <si>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</si>
  <si>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</si>
  <si>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</si>
  <si>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</si>
  <si>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</si>
  <si>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</si>
  <si>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</si>
  <si>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State Revneue</t>
  </si>
  <si>
    <t>Federal Revenue</t>
  </si>
  <si>
    <t>Local Revenue</t>
  </si>
  <si>
    <t>Cactus Park Elementary</t>
  </si>
  <si>
    <t>Salaries</t>
  </si>
  <si>
    <t>Benefits</t>
  </si>
  <si>
    <t>Professional Services</t>
  </si>
  <si>
    <t>Property Services</t>
  </si>
  <si>
    <t>Other Services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</si>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</sst>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0.00%;[Red]\(0.00%\);&quot;-%&quot;"/>
    <numFmt numFmtId="180" formatCode="_(#,##0.00_);[Red]_(\(#,##0.00\);_(&quot;-&quot;_);_(@_)"/>
  </numFmts>
  <fonts count="50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Arial"/>
      <family val="2"/>
    </font>
    <font>
      <b/>
      <i/>
      <sz val="10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167" fontId="6" fillId="0" borderId="0" xfId="1" applyNumberFormat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0" fontId="25" fillId="0" borderId="0" xfId="1" quotePrefix="1" applyFont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64" fontId="48" fillId="9" borderId="0" xfId="1" applyNumberFormat="1" applyFont="1" applyFill="1"/>
    <xf numFmtId="164" fontId="6" fillId="9" borderId="0" xfId="1" applyNumberFormat="1" applyFill="1"/>
    <xf numFmtId="164" fontId="49" fillId="0" borderId="0" xfId="1" applyNumberFormat="1" applyFont="1"/>
    <xf numFmtId="164" fontId="17" fillId="3" borderId="39" xfId="5" applyNumberFormat="1" applyFont="1" applyFill="1" applyBorder="1"/>
    <xf numFmtId="0" fontId="45" fillId="0" borderId="3" xfId="1" applyFont="1" applyBorder="1" applyAlignment="1">
      <alignment horizontal="right"/>
    </xf>
    <xf numFmtId="0" fontId="44" fillId="3" borderId="1" xfId="1" applyFont="1" applyFill="1" applyBorder="1"/>
    <xf numFmtId="167" fontId="44" fillId="3" borderId="1" xfId="1" applyNumberFormat="1" applyFont="1" applyFill="1" applyBorder="1"/>
    <xf numFmtId="0" fontId="44" fillId="3" borderId="2" xfId="1" applyFont="1" applyFill="1" applyBorder="1"/>
    <xf numFmtId="0" fontId="45" fillId="0" borderId="3" xfId="1" applyFont="1" applyBorder="1" applyAlignment="1">
      <alignment horizontal="left" indent="1"/>
    </xf>
    <xf numFmtId="165" fontId="6" fillId="0" borderId="0" xfId="1" applyNumberFormat="1" applyAlignment="1">
      <alignment horizontal="right"/>
    </xf>
    <xf numFmtId="164" fontId="6" fillId="10" borderId="0" xfId="1" applyNumberFormat="1" applyFill="1"/>
    <xf numFmtId="0" fontId="44" fillId="3" borderId="40" xfId="1" applyFont="1" applyFill="1" applyBorder="1"/>
    <xf numFmtId="179" fontId="44" fillId="3" borderId="1" xfId="1" applyNumberFormat="1" applyFont="1" applyFill="1" applyBorder="1"/>
    <xf numFmtId="180" fontId="44" fillId="3" borderId="1" xfId="1" applyNumberFormat="1" applyFont="1" applyFill="1" applyBorder="1"/>
    <xf numFmtId="0" fontId="44" fillId="3" borderId="5" xfId="1" applyFont="1" applyFill="1" applyBorder="1"/>
    <xf numFmtId="0" fontId="44" fillId="3" borderId="40" xfId="1" applyFont="1" applyFill="1" applyBorder="1"/>
    <xf numFmtId="0" fontId="44" fillId="3" borderId="5" xfId="1" applyFont="1" applyFill="1" applyBorder="1"/>
    <xf numFmtId="0" fontId="44" fillId="3" borderId="2" xfId="1" applyFont="1" applyFill="1" applyBorder="1"/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41" fillId="3" borderId="2" xfId="4" applyFill="1" applyBorder="1" applyAlignment="1" applyProtection="1">
      <alignment vertical="center"/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67" fontId="17" fillId="3" borderId="5" xfId="1" applyNumberFormat="1" applyFont="1" applyFill="1" applyBorder="1"/>
    <xf numFmtId="167" fontId="17" fillId="3" borderId="5" xfId="6" applyNumberFormat="1" applyFont="1" applyFill="1" applyBorder="1"/>
    <xf numFmtId="175" fontId="17" fillId="3" borderId="0" xfId="1" applyNumberFormat="1" applyFont="1" applyFill="1" applyBorder="1"/>
    <xf numFmtId="164" fontId="17" fillId="3" borderId="0" xfId="1" applyNumberFormat="1" applyFont="1" applyFill="1" applyBorder="1"/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D2AB-9787-47B2-A4B8-9384E42F2113}">
  <sheetPr>
    <tabColor rgb="FF92D050"/>
  </sheetPr>
  <dimension ref="A1:R69"/>
  <sheetViews>
    <sheetView showGridLines="0" tabSelected="1" zoomScale="130" zoomScaleNormal="130" zoomScaleSheetLayoutView="100" workbookViewId="0">
      <selection activeCell="P20" sqref="P20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10" width="12.85546875" style="38" customWidth="1"/>
    <col min="11" max="11" width="2.42578125" style="38" customWidth="1"/>
    <col min="12" max="12" width="11.28515625" style="38" bestFit="1" customWidth="1"/>
    <col min="13" max="16384" width="9.140625" style="38"/>
  </cols>
  <sheetData>
    <row r="1" spans="1:18" ht="15.75" x14ac:dyDescent="0.25">
      <c r="A1" s="221" t="s">
        <v>0</v>
      </c>
      <c r="B1" s="222"/>
      <c r="C1" s="222"/>
      <c r="D1" s="222"/>
      <c r="F1" s="39"/>
      <c r="G1" s="39"/>
      <c r="H1" s="39"/>
      <c r="I1" s="39"/>
      <c r="J1" s="39"/>
    </row>
    <row r="2" spans="1:18" ht="15.75" x14ac:dyDescent="0.25">
      <c r="A2" s="156" t="s">
        <v>203</v>
      </c>
      <c r="B2" s="157"/>
      <c r="C2" s="157"/>
      <c r="D2" s="157"/>
      <c r="F2" s="42" t="s">
        <v>2</v>
      </c>
      <c r="G2" s="42"/>
      <c r="H2" s="42"/>
    </row>
    <row r="3" spans="1:18" x14ac:dyDescent="0.2">
      <c r="A3" s="43" t="s">
        <v>3</v>
      </c>
      <c r="I3" s="225" t="s">
        <v>4</v>
      </c>
      <c r="J3" s="224"/>
    </row>
    <row r="4" spans="1:18" x14ac:dyDescent="0.2">
      <c r="A4" s="44" t="s">
        <v>5</v>
      </c>
    </row>
    <row r="5" spans="1:18" x14ac:dyDescent="0.2">
      <c r="A5" s="45"/>
      <c r="C5" s="178"/>
      <c r="D5" s="178"/>
      <c r="E5" s="179" t="s">
        <v>6</v>
      </c>
      <c r="F5" s="180" t="s">
        <v>7</v>
      </c>
      <c r="G5" s="181"/>
      <c r="H5" s="181"/>
      <c r="I5" s="181"/>
      <c r="J5" s="181"/>
      <c r="L5" s="177"/>
    </row>
    <row r="6" spans="1:18" x14ac:dyDescent="0.2">
      <c r="A6" s="46"/>
      <c r="B6" s="47"/>
      <c r="C6" s="47"/>
      <c r="D6" s="47"/>
      <c r="F6" s="48">
        <v>1</v>
      </c>
      <c r="G6" s="48">
        <v>2</v>
      </c>
      <c r="H6" s="48">
        <v>3</v>
      </c>
      <c r="I6" s="48">
        <v>4</v>
      </c>
      <c r="J6" s="48">
        <v>5</v>
      </c>
      <c r="K6" s="48"/>
      <c r="L6" s="177"/>
      <c r="M6" s="46"/>
      <c r="N6" s="46"/>
      <c r="O6" s="46"/>
      <c r="P6" s="46"/>
      <c r="Q6" s="46"/>
      <c r="R6" s="46"/>
    </row>
    <row r="7" spans="1:18" x14ac:dyDescent="0.2">
      <c r="A7" s="46"/>
      <c r="B7" s="49"/>
      <c r="C7" s="50">
        <f>+D7-1</f>
        <v>2021</v>
      </c>
      <c r="D7" s="50">
        <f>+E7-1</f>
        <v>2022</v>
      </c>
      <c r="E7" s="51">
        <v>2023</v>
      </c>
      <c r="F7" s="223">
        <f t="shared" ref="F7:J7" si="0">1+E7</f>
        <v>2024</v>
      </c>
      <c r="G7" s="223">
        <f t="shared" si="0"/>
        <v>2025</v>
      </c>
      <c r="H7" s="223">
        <f t="shared" si="0"/>
        <v>2026</v>
      </c>
      <c r="I7" s="223">
        <f t="shared" si="0"/>
        <v>2027</v>
      </c>
      <c r="J7" s="223">
        <f t="shared" si="0"/>
        <v>2028</v>
      </c>
      <c r="K7" s="42"/>
      <c r="L7" s="177"/>
      <c r="M7" s="46"/>
      <c r="N7" s="46"/>
      <c r="O7" s="46"/>
      <c r="P7" s="46"/>
      <c r="Q7" s="46"/>
      <c r="R7" s="46"/>
    </row>
    <row r="8" spans="1:18" x14ac:dyDescent="0.2">
      <c r="A8" s="46"/>
      <c r="B8" s="47"/>
      <c r="C8" s="47"/>
      <c r="D8" s="47"/>
      <c r="E8" s="47"/>
      <c r="F8" s="47"/>
      <c r="G8" s="47"/>
      <c r="H8" s="47"/>
      <c r="I8" s="47"/>
      <c r="J8" s="47"/>
      <c r="K8" s="42"/>
      <c r="L8" s="177"/>
      <c r="M8" s="46"/>
      <c r="N8" s="46"/>
      <c r="O8" s="46"/>
      <c r="P8" s="46"/>
      <c r="Q8" s="46"/>
      <c r="R8" s="46"/>
    </row>
    <row r="9" spans="1:18" x14ac:dyDescent="0.2">
      <c r="A9" s="46"/>
      <c r="B9" s="175" t="s">
        <v>8</v>
      </c>
      <c r="C9" s="50"/>
      <c r="D9" s="50"/>
      <c r="E9" s="50"/>
      <c r="F9" s="50"/>
      <c r="G9" s="50"/>
      <c r="H9" s="50"/>
      <c r="I9" s="50"/>
      <c r="J9" s="50"/>
      <c r="K9" s="42"/>
      <c r="L9" s="177"/>
      <c r="M9" s="46"/>
      <c r="N9" s="46"/>
      <c r="O9" s="46"/>
      <c r="P9" s="46"/>
      <c r="Q9" s="46"/>
      <c r="R9" s="46"/>
    </row>
    <row r="10" spans="1:18" x14ac:dyDescent="0.2">
      <c r="A10" s="46"/>
      <c r="B10" s="52" t="s">
        <v>9</v>
      </c>
      <c r="C10" s="53"/>
      <c r="D10" s="53"/>
      <c r="E10" s="53">
        <v>127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42"/>
      <c r="L10" s="177"/>
      <c r="M10" s="46"/>
      <c r="N10" s="46"/>
      <c r="O10" s="46"/>
      <c r="P10" s="46"/>
      <c r="Q10" s="46"/>
      <c r="R10" s="46"/>
    </row>
    <row r="11" spans="1:18" x14ac:dyDescent="0.2">
      <c r="A11" s="46"/>
      <c r="B11" s="54" t="s">
        <v>10</v>
      </c>
      <c r="C11" s="55"/>
      <c r="D11" s="55"/>
      <c r="E11" s="55">
        <v>127</v>
      </c>
      <c r="F11" s="54">
        <v>300</v>
      </c>
      <c r="G11" s="54"/>
      <c r="H11" s="54"/>
      <c r="I11" s="54"/>
      <c r="J11" s="54"/>
      <c r="K11" s="42"/>
      <c r="L11" s="177"/>
      <c r="M11" s="46"/>
      <c r="N11" s="46"/>
      <c r="O11" s="46"/>
      <c r="P11" s="46"/>
      <c r="Q11" s="46"/>
      <c r="R11" s="46"/>
    </row>
    <row r="12" spans="1:18" x14ac:dyDescent="0.2">
      <c r="A12" s="46"/>
      <c r="B12" s="56" t="s">
        <v>11</v>
      </c>
      <c r="C12" s="57">
        <f>IF(C10&gt;0,C10-C11,0)</f>
        <v>0</v>
      </c>
      <c r="D12" s="57">
        <f t="shared" ref="D12:J12" si="1">IF(D10&gt;0,D10-D11,0)</f>
        <v>0</v>
      </c>
      <c r="E12" s="57">
        <f t="shared" si="1"/>
        <v>0</v>
      </c>
      <c r="F12" s="57">
        <f t="shared" si="1"/>
        <v>0</v>
      </c>
      <c r="G12" s="57">
        <f t="shared" si="1"/>
        <v>0</v>
      </c>
      <c r="H12" s="57">
        <f t="shared" si="1"/>
        <v>0</v>
      </c>
      <c r="I12" s="57">
        <f t="shared" si="1"/>
        <v>0</v>
      </c>
      <c r="J12" s="57">
        <f t="shared" si="1"/>
        <v>0</v>
      </c>
      <c r="K12" s="42"/>
      <c r="L12" s="177"/>
      <c r="M12" s="46"/>
      <c r="N12" s="46"/>
      <c r="O12" s="46"/>
      <c r="P12" s="46"/>
      <c r="Q12" s="46"/>
      <c r="R12" s="46"/>
    </row>
    <row r="13" spans="1:18" x14ac:dyDescent="0.2">
      <c r="A13" s="46"/>
      <c r="B13" s="47"/>
      <c r="C13" s="190"/>
      <c r="D13" s="190"/>
      <c r="E13" s="190"/>
      <c r="F13" s="190"/>
      <c r="G13" s="190"/>
      <c r="H13" s="190"/>
      <c r="I13" s="190"/>
      <c r="J13" s="190"/>
      <c r="K13" s="42"/>
      <c r="L13" s="177"/>
      <c r="M13" s="46"/>
      <c r="N13" s="46"/>
      <c r="O13" s="46"/>
      <c r="P13" s="46"/>
      <c r="Q13" s="46"/>
      <c r="R13" s="46"/>
    </row>
    <row r="14" spans="1:18" x14ac:dyDescent="0.2">
      <c r="A14" s="46"/>
      <c r="B14" s="175" t="s">
        <v>12</v>
      </c>
      <c r="C14" s="50"/>
      <c r="D14" s="50"/>
      <c r="E14" s="50"/>
      <c r="F14" s="50"/>
      <c r="G14" s="50"/>
      <c r="H14" s="50"/>
      <c r="I14" s="50"/>
      <c r="J14" s="50"/>
      <c r="K14" s="42"/>
      <c r="L14" s="177"/>
      <c r="M14" s="46"/>
      <c r="N14" s="46"/>
      <c r="O14" s="46"/>
      <c r="P14" s="46"/>
      <c r="Q14" s="46"/>
      <c r="R14" s="46"/>
    </row>
    <row r="15" spans="1:18" x14ac:dyDescent="0.2">
      <c r="A15" s="46"/>
      <c r="B15" s="58" t="s">
        <v>200</v>
      </c>
      <c r="C15" s="185">
        <v>0</v>
      </c>
      <c r="D15" s="185">
        <v>0</v>
      </c>
      <c r="E15" s="185">
        <v>1006221</v>
      </c>
      <c r="F15" s="185">
        <v>2857337</v>
      </c>
      <c r="G15" s="185">
        <v>0</v>
      </c>
      <c r="H15" s="185">
        <v>0</v>
      </c>
      <c r="I15" s="185">
        <v>0</v>
      </c>
      <c r="J15" s="185">
        <v>0</v>
      </c>
      <c r="K15" s="42"/>
      <c r="L15" s="177"/>
      <c r="M15" s="46"/>
      <c r="N15" s="46"/>
      <c r="O15" s="46"/>
      <c r="P15" s="46"/>
      <c r="Q15" s="46"/>
      <c r="R15" s="46"/>
    </row>
    <row r="16" spans="1:18" x14ac:dyDescent="0.2">
      <c r="A16" s="46"/>
      <c r="B16" s="263" t="s">
        <v>201</v>
      </c>
      <c r="C16" s="264"/>
      <c r="D16" s="264"/>
      <c r="E16" s="264">
        <v>718164</v>
      </c>
      <c r="F16" s="264">
        <v>811563</v>
      </c>
      <c r="G16" s="264"/>
      <c r="H16" s="264"/>
      <c r="I16" s="264"/>
      <c r="J16" s="264"/>
      <c r="K16" s="42"/>
      <c r="L16" s="177"/>
      <c r="M16" s="46"/>
      <c r="N16" s="46"/>
      <c r="O16" s="46"/>
      <c r="P16" s="46"/>
      <c r="Q16" s="46"/>
      <c r="R16" s="46"/>
    </row>
    <row r="17" spans="1:18" x14ac:dyDescent="0.2">
      <c r="A17" s="46"/>
      <c r="B17" s="263" t="s">
        <v>202</v>
      </c>
      <c r="C17" s="264"/>
      <c r="D17" s="264"/>
      <c r="E17" s="264">
        <v>18027</v>
      </c>
      <c r="F17" s="264"/>
      <c r="G17" s="264"/>
      <c r="H17" s="264"/>
      <c r="I17" s="264"/>
      <c r="J17" s="264"/>
      <c r="K17" s="42"/>
      <c r="L17" s="177"/>
      <c r="M17" s="46"/>
      <c r="N17" s="46"/>
      <c r="O17" s="46"/>
      <c r="P17" s="46"/>
      <c r="Q17" s="46"/>
      <c r="R17" s="46"/>
    </row>
    <row r="18" spans="1:18" x14ac:dyDescent="0.2">
      <c r="A18" s="46"/>
      <c r="B18" s="56" t="s">
        <v>13</v>
      </c>
      <c r="C18" s="82">
        <f>SUM(C15:C17)</f>
        <v>0</v>
      </c>
      <c r="D18" s="82">
        <f>SUM(D15:D17)</f>
        <v>0</v>
      </c>
      <c r="E18" s="82">
        <f>SUM(E15:E17)</f>
        <v>1742412</v>
      </c>
      <c r="F18" s="82">
        <f>SUM(F15:F17)</f>
        <v>3668900</v>
      </c>
      <c r="G18" s="82">
        <f>SUM(G15:G17)</f>
        <v>0</v>
      </c>
      <c r="H18" s="82">
        <f>SUM(H15:H17)</f>
        <v>0</v>
      </c>
      <c r="I18" s="82">
        <f>SUM(I15:I17)</f>
        <v>0</v>
      </c>
      <c r="J18" s="82">
        <f>SUM(J15:J17)</f>
        <v>0</v>
      </c>
      <c r="K18" s="42"/>
      <c r="L18" s="177"/>
      <c r="M18" s="46"/>
      <c r="N18" s="46"/>
      <c r="O18" s="46"/>
      <c r="P18" s="46"/>
      <c r="Q18" s="46"/>
      <c r="R18" s="46"/>
    </row>
    <row r="19" spans="1:18" x14ac:dyDescent="0.2">
      <c r="A19" s="46"/>
      <c r="B19" s="191" t="s">
        <v>14</v>
      </c>
      <c r="C19" s="192" t="e">
        <f t="shared" ref="C19:E19" si="2">IF(C$10&gt;0,C18/C$10,C18/C$11)</f>
        <v>#DIV/0!</v>
      </c>
      <c r="D19" s="192" t="e">
        <f t="shared" si="2"/>
        <v>#DIV/0!</v>
      </c>
      <c r="E19" s="192">
        <f t="shared" si="2"/>
        <v>13719.779527559054</v>
      </c>
      <c r="F19" s="192">
        <f>IF(F$10&gt;0,F18/F$10,F18/F$11)</f>
        <v>12229.666666666666</v>
      </c>
      <c r="G19" s="192" t="e">
        <f t="shared" ref="G19:J19" si="3">IF(G$10&gt;0,G18/G$10,G18/G$11)</f>
        <v>#DIV/0!</v>
      </c>
      <c r="H19" s="192" t="e">
        <f t="shared" si="3"/>
        <v>#DIV/0!</v>
      </c>
      <c r="I19" s="192" t="e">
        <f t="shared" si="3"/>
        <v>#DIV/0!</v>
      </c>
      <c r="J19" s="192" t="e">
        <f t="shared" si="3"/>
        <v>#DIV/0!</v>
      </c>
      <c r="K19" s="42"/>
      <c r="L19" s="177"/>
      <c r="M19" s="46"/>
      <c r="N19" s="46"/>
      <c r="O19" s="46"/>
      <c r="P19" s="46"/>
      <c r="Q19" s="46"/>
      <c r="R19" s="46"/>
    </row>
    <row r="20" spans="1:18" x14ac:dyDescent="0.2">
      <c r="A20" s="46"/>
      <c r="B20" s="61"/>
      <c r="C20" s="182"/>
      <c r="D20" s="182"/>
      <c r="E20" s="182"/>
      <c r="F20" s="182"/>
      <c r="G20" s="182"/>
      <c r="H20" s="182"/>
      <c r="I20" s="182"/>
      <c r="J20" s="182"/>
      <c r="K20" s="42"/>
      <c r="L20" s="177"/>
      <c r="M20" s="46"/>
      <c r="N20" s="46"/>
      <c r="O20" s="46"/>
      <c r="P20" s="46"/>
      <c r="Q20" s="46"/>
      <c r="R20" s="46"/>
    </row>
    <row r="21" spans="1:18" x14ac:dyDescent="0.2">
      <c r="A21" s="46"/>
      <c r="B21" s="175" t="s">
        <v>15</v>
      </c>
      <c r="C21" s="50"/>
      <c r="D21" s="50"/>
      <c r="E21" s="50"/>
      <c r="F21" s="50"/>
      <c r="G21" s="50"/>
      <c r="H21" s="50"/>
      <c r="I21" s="50"/>
      <c r="J21" s="50"/>
      <c r="K21" s="42"/>
      <c r="L21" s="177"/>
      <c r="M21" s="46"/>
      <c r="N21" s="46"/>
      <c r="O21" s="46"/>
      <c r="P21" s="46"/>
      <c r="Q21" s="46"/>
      <c r="R21" s="46"/>
    </row>
    <row r="22" spans="1:18" x14ac:dyDescent="0.2">
      <c r="A22" s="46"/>
      <c r="B22" s="62" t="s">
        <v>204</v>
      </c>
      <c r="C22" s="150">
        <v>0</v>
      </c>
      <c r="D22" s="150">
        <v>0</v>
      </c>
      <c r="E22" s="151">
        <v>680787</v>
      </c>
      <c r="F22" s="151">
        <v>1140500</v>
      </c>
      <c r="G22" s="151">
        <v>0</v>
      </c>
      <c r="H22" s="151">
        <v>0</v>
      </c>
      <c r="I22" s="151">
        <v>0</v>
      </c>
      <c r="J22" s="151">
        <v>0</v>
      </c>
      <c r="K22" s="42"/>
      <c r="L22" s="177"/>
      <c r="M22" s="46"/>
      <c r="N22" s="46"/>
      <c r="O22" s="46"/>
      <c r="P22" s="46"/>
      <c r="Q22" s="46"/>
      <c r="R22" s="46"/>
    </row>
    <row r="23" spans="1:18" x14ac:dyDescent="0.2">
      <c r="A23" s="46"/>
      <c r="B23" s="62" t="s">
        <v>205</v>
      </c>
      <c r="C23" s="150"/>
      <c r="D23" s="150"/>
      <c r="E23" s="265">
        <v>356292</v>
      </c>
      <c r="F23" s="265">
        <v>524697</v>
      </c>
      <c r="G23" s="265"/>
      <c r="H23" s="265"/>
      <c r="I23" s="265"/>
      <c r="J23" s="265"/>
      <c r="K23" s="42"/>
      <c r="L23" s="177"/>
      <c r="M23" s="46"/>
      <c r="N23" s="46"/>
      <c r="O23" s="46"/>
      <c r="P23" s="46"/>
      <c r="Q23" s="46"/>
      <c r="R23" s="46"/>
    </row>
    <row r="24" spans="1:18" x14ac:dyDescent="0.2">
      <c r="A24" s="46"/>
      <c r="B24" s="63" t="s">
        <v>206</v>
      </c>
      <c r="C24" s="183">
        <v>0</v>
      </c>
      <c r="D24" s="183">
        <v>0</v>
      </c>
      <c r="E24" s="183">
        <v>228572</v>
      </c>
      <c r="F24" s="183">
        <v>322227</v>
      </c>
      <c r="G24" s="183">
        <v>0</v>
      </c>
      <c r="H24" s="183">
        <v>0</v>
      </c>
      <c r="I24" s="183">
        <v>0</v>
      </c>
      <c r="J24" s="183">
        <v>0</v>
      </c>
      <c r="K24" s="42"/>
      <c r="L24" s="177"/>
      <c r="M24" s="46"/>
      <c r="N24" s="46"/>
      <c r="O24" s="46"/>
      <c r="P24" s="46"/>
      <c r="Q24" s="46"/>
      <c r="R24" s="46"/>
    </row>
    <row r="25" spans="1:18" x14ac:dyDescent="0.2">
      <c r="A25" s="46"/>
      <c r="B25" s="266" t="s">
        <v>207</v>
      </c>
      <c r="C25" s="234"/>
      <c r="D25" s="234"/>
      <c r="E25" s="234">
        <v>118500</v>
      </c>
      <c r="F25" s="234">
        <v>709720</v>
      </c>
      <c r="G25" s="234"/>
      <c r="H25" s="234"/>
      <c r="I25" s="234"/>
      <c r="J25" s="234"/>
      <c r="K25" s="42"/>
      <c r="L25" s="177"/>
      <c r="M25" s="46"/>
      <c r="N25" s="46"/>
      <c r="O25" s="46"/>
      <c r="P25" s="46"/>
      <c r="Q25" s="46"/>
      <c r="R25" s="46"/>
    </row>
    <row r="26" spans="1:18" x14ac:dyDescent="0.2">
      <c r="A26" s="46"/>
      <c r="B26" s="266" t="s">
        <v>208</v>
      </c>
      <c r="C26" s="234"/>
      <c r="D26" s="234"/>
      <c r="E26" s="234">
        <v>365408</v>
      </c>
      <c r="F26" s="234">
        <v>312127</v>
      </c>
      <c r="G26" s="234"/>
      <c r="H26" s="234"/>
      <c r="I26" s="234"/>
      <c r="J26" s="234"/>
      <c r="K26" s="42"/>
      <c r="L26" s="177"/>
      <c r="M26" s="46"/>
      <c r="N26" s="46"/>
      <c r="O26" s="46"/>
      <c r="P26" s="46"/>
      <c r="Q26" s="46"/>
      <c r="R26" s="46"/>
    </row>
    <row r="27" spans="1:18" x14ac:dyDescent="0.2">
      <c r="A27" s="46"/>
      <c r="B27" s="266" t="s">
        <v>209</v>
      </c>
      <c r="C27" s="234"/>
      <c r="D27" s="234"/>
      <c r="E27" s="234">
        <v>251051</v>
      </c>
      <c r="F27" s="234">
        <v>503500</v>
      </c>
      <c r="G27" s="234"/>
      <c r="H27" s="234"/>
      <c r="I27" s="234"/>
      <c r="J27" s="234"/>
      <c r="K27" s="42"/>
      <c r="L27" s="177"/>
      <c r="M27" s="46"/>
      <c r="N27" s="46"/>
      <c r="O27" s="46"/>
      <c r="P27" s="46"/>
      <c r="Q27" s="46"/>
      <c r="R27" s="46"/>
    </row>
    <row r="28" spans="1:18" x14ac:dyDescent="0.2">
      <c r="A28" s="46"/>
      <c r="B28" s="64" t="s">
        <v>18</v>
      </c>
      <c r="C28" s="184">
        <v>0</v>
      </c>
      <c r="D28" s="184">
        <v>0</v>
      </c>
      <c r="E28" s="184">
        <v>31400</v>
      </c>
      <c r="F28" s="184">
        <v>32028</v>
      </c>
      <c r="G28" s="184">
        <v>0</v>
      </c>
      <c r="H28" s="184">
        <v>0</v>
      </c>
      <c r="I28" s="184">
        <v>0</v>
      </c>
      <c r="J28" s="184">
        <v>0</v>
      </c>
      <c r="K28" s="42"/>
      <c r="L28" s="189" t="s">
        <v>19</v>
      </c>
      <c r="M28" s="46"/>
      <c r="N28" s="46"/>
      <c r="O28" s="46"/>
      <c r="P28" s="46"/>
      <c r="Q28" s="46"/>
      <c r="R28" s="46"/>
    </row>
    <row r="29" spans="1:18" x14ac:dyDescent="0.2">
      <c r="A29" s="46"/>
      <c r="B29" s="47" t="s">
        <v>20</v>
      </c>
      <c r="C29" s="72">
        <f>SUM(C22:C28)</f>
        <v>0</v>
      </c>
      <c r="D29" s="72">
        <f>SUM(D22:D28)</f>
        <v>0</v>
      </c>
      <c r="E29" s="72">
        <f t="shared" ref="E29:J29" si="4">SUM(E22:E28)</f>
        <v>2032010</v>
      </c>
      <c r="F29" s="72">
        <f t="shared" si="4"/>
        <v>3544799</v>
      </c>
      <c r="G29" s="72">
        <f t="shared" si="4"/>
        <v>0</v>
      </c>
      <c r="H29" s="72">
        <f t="shared" si="4"/>
        <v>0</v>
      </c>
      <c r="I29" s="72">
        <f t="shared" si="4"/>
        <v>0</v>
      </c>
      <c r="J29" s="72">
        <f t="shared" si="4"/>
        <v>0</v>
      </c>
      <c r="K29" s="42"/>
      <c r="L29" s="177"/>
      <c r="M29" s="46"/>
      <c r="N29" s="46"/>
      <c r="O29" s="46"/>
      <c r="P29" s="46"/>
      <c r="Q29" s="46"/>
      <c r="R29" s="46"/>
    </row>
    <row r="30" spans="1:18" x14ac:dyDescent="0.2">
      <c r="A30" s="46"/>
      <c r="B30" s="191" t="s">
        <v>21</v>
      </c>
      <c r="C30" s="192" t="e">
        <f t="shared" ref="C30" si="5">IF(C$10&gt;0,C29/C$10,C29/C$11)</f>
        <v>#DIV/0!</v>
      </c>
      <c r="D30" s="192" t="e">
        <f t="shared" ref="D30" si="6">IF(D$10&gt;0,D29/D$10,D29/D$11)</f>
        <v>#DIV/0!</v>
      </c>
      <c r="E30" s="192">
        <f t="shared" ref="E30" si="7">IF(E$10&gt;0,E29/E$10,E29/E$11)</f>
        <v>16000.07874015748</v>
      </c>
      <c r="F30" s="192">
        <f>IF(F$10&gt;0,F29/F$10,F29/F$11)</f>
        <v>11815.996666666666</v>
      </c>
      <c r="G30" s="192" t="e">
        <f t="shared" ref="G30" si="8">IF(G$10&gt;0,G29/G$10,G29/G$11)</f>
        <v>#DIV/0!</v>
      </c>
      <c r="H30" s="192" t="e">
        <f t="shared" ref="H30" si="9">IF(H$10&gt;0,H29/H$10,H29/H$11)</f>
        <v>#DIV/0!</v>
      </c>
      <c r="I30" s="192" t="e">
        <f t="shared" ref="I30" si="10">IF(I$10&gt;0,I29/I$10,I29/I$11)</f>
        <v>#DIV/0!</v>
      </c>
      <c r="J30" s="192" t="e">
        <f t="shared" ref="J30" si="11">IF(J$10&gt;0,J29/J$10,J29/J$11)</f>
        <v>#DIV/0!</v>
      </c>
      <c r="K30" s="42"/>
      <c r="L30" s="177"/>
      <c r="M30" s="46"/>
      <c r="N30" s="46"/>
      <c r="O30" s="46"/>
      <c r="P30" s="46"/>
      <c r="Q30" s="46"/>
      <c r="R30" s="46"/>
    </row>
    <row r="31" spans="1:18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2"/>
      <c r="L31" s="177"/>
      <c r="M31" s="46"/>
      <c r="N31" s="46"/>
      <c r="O31" s="46"/>
      <c r="P31" s="46"/>
      <c r="Q31" s="46"/>
      <c r="R31" s="46"/>
    </row>
    <row r="32" spans="1:18" ht="13.5" thickBot="1" x14ac:dyDescent="0.25">
      <c r="A32" s="46"/>
      <c r="B32" s="186" t="s">
        <v>22</v>
      </c>
      <c r="C32" s="187">
        <f>SUM(C15:C17)-C29</f>
        <v>0</v>
      </c>
      <c r="D32" s="187">
        <f>SUM(D15:D17)-D29</f>
        <v>0</v>
      </c>
      <c r="E32" s="187">
        <f>SUM(E15:E17)-E29</f>
        <v>-289598</v>
      </c>
      <c r="F32" s="187">
        <f>SUM(F15:F17)-F29</f>
        <v>124101</v>
      </c>
      <c r="G32" s="187">
        <f>SUM(G15:G17)-G29</f>
        <v>0</v>
      </c>
      <c r="H32" s="187">
        <f>SUM(H15:H17)-H29</f>
        <v>0</v>
      </c>
      <c r="I32" s="187">
        <f>SUM(I15:I17)-I29</f>
        <v>0</v>
      </c>
      <c r="J32" s="187">
        <f>SUM(J15:J17)-J29</f>
        <v>0</v>
      </c>
      <c r="K32" s="42"/>
      <c r="L32" s="177"/>
      <c r="M32" s="46"/>
      <c r="N32" s="46"/>
      <c r="O32" s="46"/>
      <c r="P32" s="46"/>
      <c r="Q32" s="46"/>
      <c r="R32" s="46"/>
    </row>
    <row r="33" spans="1:18" ht="13.5" thickTop="1" x14ac:dyDescent="0.2">
      <c r="A33" s="46"/>
      <c r="B33" s="67" t="s">
        <v>23</v>
      </c>
      <c r="C33" s="47"/>
      <c r="D33" s="47"/>
      <c r="E33" s="47"/>
      <c r="F33" s="72">
        <f>+F32+E33</f>
        <v>124101</v>
      </c>
      <c r="G33" s="72">
        <f t="shared" ref="G33:J33" si="12">+G32+F33</f>
        <v>124101</v>
      </c>
      <c r="H33" s="72">
        <f t="shared" si="12"/>
        <v>124101</v>
      </c>
      <c r="I33" s="72">
        <f t="shared" si="12"/>
        <v>124101</v>
      </c>
      <c r="J33" s="72">
        <f t="shared" si="12"/>
        <v>124101</v>
      </c>
      <c r="K33" s="42"/>
      <c r="L33" s="177"/>
      <c r="M33" s="46"/>
      <c r="N33" s="46"/>
      <c r="O33" s="46"/>
      <c r="P33" s="46"/>
      <c r="Q33" s="46"/>
      <c r="R33" s="46"/>
    </row>
    <row r="34" spans="1:18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2"/>
      <c r="L34" s="177"/>
      <c r="M34" s="46"/>
      <c r="N34" s="46"/>
      <c r="O34" s="46"/>
      <c r="P34" s="46"/>
      <c r="Q34" s="46"/>
      <c r="R34" s="46"/>
    </row>
    <row r="35" spans="1:18" hidden="1" x14ac:dyDescent="0.2">
      <c r="A35" s="46"/>
      <c r="B35" s="49" t="s">
        <v>24</v>
      </c>
      <c r="C35" s="50"/>
      <c r="D35" s="50"/>
      <c r="E35" s="50"/>
      <c r="F35" s="50"/>
      <c r="G35" s="50"/>
      <c r="H35" s="50"/>
      <c r="I35" s="50"/>
      <c r="J35" s="50"/>
      <c r="K35" s="42"/>
      <c r="M35" s="46"/>
      <c r="N35" s="46"/>
      <c r="O35" s="46"/>
      <c r="P35" s="46"/>
      <c r="Q35" s="46"/>
      <c r="R35" s="46"/>
    </row>
    <row r="36" spans="1:18" hidden="1" x14ac:dyDescent="0.2">
      <c r="A36" s="46"/>
      <c r="B36" s="75" t="e">
        <f>+#REF!</f>
        <v>#REF!</v>
      </c>
      <c r="C36" s="53">
        <v>0</v>
      </c>
      <c r="D36" s="53">
        <v>0</v>
      </c>
      <c r="E36" s="53">
        <v>0</v>
      </c>
      <c r="F36" s="52">
        <v>300000</v>
      </c>
      <c r="G36" s="52">
        <v>310000</v>
      </c>
      <c r="H36" s="52">
        <v>320000</v>
      </c>
      <c r="I36" s="52">
        <v>330000</v>
      </c>
      <c r="J36" s="52">
        <v>340000</v>
      </c>
      <c r="K36" s="42"/>
      <c r="M36" s="46"/>
      <c r="N36" s="46"/>
      <c r="O36" s="46"/>
      <c r="P36" s="46"/>
      <c r="Q36" s="46"/>
      <c r="R36" s="46"/>
    </row>
    <row r="37" spans="1:18" hidden="1" x14ac:dyDescent="0.2">
      <c r="A37" s="46"/>
      <c r="B37" s="76"/>
      <c r="C37" s="77">
        <v>0</v>
      </c>
      <c r="D37" s="77">
        <v>0</v>
      </c>
      <c r="E37" s="77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42"/>
      <c r="M37" s="46"/>
      <c r="N37" s="46"/>
      <c r="O37" s="46"/>
      <c r="P37" s="46"/>
      <c r="Q37" s="46"/>
      <c r="R37" s="46"/>
    </row>
    <row r="38" spans="1:18" hidden="1" x14ac:dyDescent="0.2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2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2">
      <c r="A40" s="46"/>
      <c r="B40" s="78" t="e">
        <f>+#REF!</f>
        <v>#REF!</v>
      </c>
      <c r="C40" s="80">
        <v>0</v>
      </c>
      <c r="D40" s="80">
        <v>0</v>
      </c>
      <c r="E40" s="80">
        <v>0</v>
      </c>
      <c r="F40" s="79"/>
      <c r="G40" s="79"/>
      <c r="H40" s="79"/>
      <c r="I40" s="79"/>
      <c r="J40" s="79"/>
      <c r="K40" s="42"/>
      <c r="M40" s="46"/>
      <c r="N40" s="46"/>
      <c r="O40" s="46"/>
      <c r="P40" s="46"/>
      <c r="Q40" s="46"/>
      <c r="R40" s="46"/>
    </row>
    <row r="41" spans="1:18" hidden="1" x14ac:dyDescent="0.2">
      <c r="A41" s="46"/>
      <c r="B41" s="47" t="s">
        <v>25</v>
      </c>
      <c r="C41" s="72">
        <f t="shared" ref="C41:J41" si="13">SUM(C36:C40)</f>
        <v>0</v>
      </c>
      <c r="D41" s="72">
        <f t="shared" si="13"/>
        <v>0</v>
      </c>
      <c r="E41" s="72">
        <f t="shared" si="13"/>
        <v>0</v>
      </c>
      <c r="F41" s="72">
        <f t="shared" si="13"/>
        <v>300000</v>
      </c>
      <c r="G41" s="72">
        <f t="shared" si="13"/>
        <v>310000</v>
      </c>
      <c r="H41" s="72">
        <f t="shared" si="13"/>
        <v>320000</v>
      </c>
      <c r="I41" s="72">
        <f t="shared" si="13"/>
        <v>330000</v>
      </c>
      <c r="J41" s="72">
        <f t="shared" si="13"/>
        <v>340000</v>
      </c>
      <c r="K41" s="42"/>
      <c r="M41" s="46"/>
      <c r="N41" s="46"/>
      <c r="O41" s="46"/>
      <c r="P41" s="46"/>
      <c r="Q41" s="46"/>
      <c r="R41" s="46"/>
    </row>
    <row r="42" spans="1:18" hidden="1" x14ac:dyDescent="0.2">
      <c r="A42" s="46"/>
      <c r="B42" s="47" t="s">
        <v>26</v>
      </c>
      <c r="C42" s="155" t="e">
        <f>IF(#REF!&gt;0,C41/#REF!/12,0)</f>
        <v>#REF!</v>
      </c>
      <c r="D42" s="155" t="e">
        <f>IF(#REF!&gt;0,D41/#REF!/12,0)</f>
        <v>#REF!</v>
      </c>
      <c r="E42" s="155" t="e">
        <f>IF(#REF!&gt;0,E41/#REF!/12,0)</f>
        <v>#REF!</v>
      </c>
      <c r="F42" s="155" t="e">
        <f>IF(#REF!&gt;0,F41/#REF!/12,0)</f>
        <v>#REF!</v>
      </c>
      <c r="G42" s="155" t="e">
        <f>IF(#REF!&gt;0,G41/#REF!/12,0)</f>
        <v>#REF!</v>
      </c>
      <c r="H42" s="155" t="e">
        <f>IF(#REF!&gt;0,H41/#REF!/12,0)</f>
        <v>#REF!</v>
      </c>
      <c r="I42" s="155" t="e">
        <f>IF(#REF!&gt;0,I41/#REF!/12,0)</f>
        <v>#REF!</v>
      </c>
      <c r="J42" s="155" t="e">
        <f>IF(#REF!&gt;0,J41/#REF!/12,0)</f>
        <v>#REF!</v>
      </c>
      <c r="K42" s="42"/>
      <c r="M42" s="46"/>
      <c r="N42" s="46"/>
      <c r="O42" s="46"/>
      <c r="P42" s="46"/>
      <c r="Q42" s="46"/>
      <c r="R42" s="46"/>
    </row>
    <row r="43" spans="1:18" hidden="1" x14ac:dyDescent="0.2">
      <c r="A43" s="46"/>
      <c r="B43" s="47"/>
      <c r="C43" s="72"/>
      <c r="D43" s="72"/>
      <c r="E43" s="72"/>
      <c r="F43" s="72"/>
      <c r="G43" s="72"/>
      <c r="H43" s="72"/>
      <c r="I43" s="72"/>
      <c r="J43" s="72"/>
      <c r="K43" s="42"/>
      <c r="M43" s="46"/>
      <c r="N43" s="46"/>
      <c r="O43" s="46"/>
      <c r="P43" s="46"/>
      <c r="Q43" s="46"/>
      <c r="R43" s="46"/>
    </row>
    <row r="44" spans="1:18" hidden="1" x14ac:dyDescent="0.2">
      <c r="A44" s="46"/>
      <c r="B44" s="49" t="s">
        <v>27</v>
      </c>
      <c r="C44" s="50"/>
      <c r="D44" s="50"/>
      <c r="E44" s="50"/>
      <c r="F44" s="50"/>
      <c r="G44" s="50"/>
      <c r="H44" s="50"/>
      <c r="I44" s="50"/>
      <c r="J44" s="50"/>
      <c r="K44" s="42"/>
      <c r="M44" s="46"/>
      <c r="N44" s="46"/>
      <c r="O44" s="46"/>
      <c r="P44" s="46"/>
      <c r="Q44" s="46"/>
      <c r="R44" s="46"/>
    </row>
    <row r="45" spans="1:18" hidden="1" x14ac:dyDescent="0.2">
      <c r="A45" s="46"/>
      <c r="B45" s="81" t="s">
        <v>28</v>
      </c>
      <c r="C45" s="146" t="e">
        <f>+#REF!*C18</f>
        <v>#REF!</v>
      </c>
      <c r="D45" s="146" t="e">
        <f>+#REF!*D18</f>
        <v>#REF!</v>
      </c>
      <c r="E45" s="146" t="e">
        <f>+#REF!*E18</f>
        <v>#REF!</v>
      </c>
      <c r="F45" s="146" t="e">
        <f>+#REF!*F18</f>
        <v>#REF!</v>
      </c>
      <c r="G45" s="146" t="e">
        <f>+#REF!*G18</f>
        <v>#REF!</v>
      </c>
      <c r="H45" s="146" t="e">
        <f>+#REF!*H18</f>
        <v>#REF!</v>
      </c>
      <c r="I45" s="146" t="e">
        <f>+#REF!*I18</f>
        <v>#REF!</v>
      </c>
      <c r="J45" s="146" t="e">
        <f>+#REF!*J18</f>
        <v>#REF!</v>
      </c>
      <c r="K45" s="42"/>
      <c r="M45" s="46"/>
      <c r="N45" s="46"/>
      <c r="O45" s="46"/>
      <c r="P45" s="46"/>
      <c r="Q45" s="46"/>
      <c r="R45" s="46"/>
    </row>
    <row r="46" spans="1:18" hidden="1" x14ac:dyDescent="0.2">
      <c r="B46" s="67" t="s">
        <v>29</v>
      </c>
      <c r="C46" s="67"/>
      <c r="D46" s="67"/>
      <c r="E46" s="154">
        <f t="shared" ref="E46:J46" si="14">IFERROR(E41/E18,0)</f>
        <v>0</v>
      </c>
      <c r="F46" s="154">
        <f t="shared" si="14"/>
        <v>8.1768377442830276E-2</v>
      </c>
      <c r="G46" s="154">
        <f t="shared" si="14"/>
        <v>0</v>
      </c>
      <c r="H46" s="154">
        <f t="shared" si="14"/>
        <v>0</v>
      </c>
      <c r="I46" s="154">
        <f t="shared" si="14"/>
        <v>0</v>
      </c>
      <c r="J46" s="154">
        <f t="shared" si="14"/>
        <v>0</v>
      </c>
      <c r="K46" s="42"/>
      <c r="M46" s="46"/>
      <c r="N46" s="46"/>
      <c r="O46" s="46"/>
      <c r="P46" s="46"/>
      <c r="Q46" s="46"/>
      <c r="R46" s="46"/>
    </row>
    <row r="47" spans="1:18" hidden="1" x14ac:dyDescent="0.2">
      <c r="A47" s="46"/>
      <c r="B47" s="47" t="s">
        <v>30</v>
      </c>
      <c r="C47" s="73"/>
      <c r="D47" s="73">
        <f t="shared" ref="D47:J47" si="15">IFERROR(D41/C41-1,0)</f>
        <v>0</v>
      </c>
      <c r="E47" s="73">
        <f t="shared" si="15"/>
        <v>0</v>
      </c>
      <c r="F47" s="73">
        <f t="shared" si="15"/>
        <v>0</v>
      </c>
      <c r="G47" s="73">
        <f t="shared" si="15"/>
        <v>3.3333333333333437E-2</v>
      </c>
      <c r="H47" s="73">
        <f t="shared" si="15"/>
        <v>3.2258064516129004E-2</v>
      </c>
      <c r="I47" s="73">
        <f t="shared" si="15"/>
        <v>3.125E-2</v>
      </c>
      <c r="J47" s="73">
        <f t="shared" si="15"/>
        <v>3.0303030303030276E-2</v>
      </c>
      <c r="K47" s="42"/>
      <c r="M47" s="46"/>
      <c r="N47" s="46"/>
      <c r="O47" s="46"/>
      <c r="P47" s="46"/>
      <c r="Q47" s="46"/>
      <c r="R47" s="46"/>
    </row>
    <row r="48" spans="1:18" hidden="1" x14ac:dyDescent="0.2">
      <c r="A48" s="46"/>
      <c r="K48" s="42"/>
      <c r="M48" s="46"/>
      <c r="N48" s="46"/>
      <c r="O48" s="46"/>
      <c r="P48" s="46"/>
      <c r="Q48" s="46"/>
      <c r="R48" s="46"/>
    </row>
    <row r="49" spans="1:18" hidden="1" x14ac:dyDescent="0.2">
      <c r="A49" s="46"/>
      <c r="B49" s="47" t="e">
        <f>+#REF!</f>
        <v>#REF!</v>
      </c>
      <c r="C49" s="72" t="e">
        <f>+#REF!</f>
        <v>#REF!</v>
      </c>
      <c r="D49" s="72" t="e">
        <f>+#REF!</f>
        <v>#REF!</v>
      </c>
      <c r="E49" s="72" t="e">
        <f>+#REF!</f>
        <v>#REF!</v>
      </c>
      <c r="F49" s="72" t="e">
        <f>+#REF!</f>
        <v>#REF!</v>
      </c>
      <c r="G49" s="72" t="e">
        <f>+#REF!</f>
        <v>#REF!</v>
      </c>
      <c r="H49" s="72" t="e">
        <f>+#REF!</f>
        <v>#REF!</v>
      </c>
      <c r="I49" s="72" t="e">
        <f>+#REF!</f>
        <v>#REF!</v>
      </c>
      <c r="J49" s="72" t="e">
        <f>+#REF!</f>
        <v>#REF!</v>
      </c>
      <c r="K49" s="42"/>
      <c r="M49" s="46"/>
      <c r="N49" s="46"/>
      <c r="O49" s="46"/>
      <c r="P49" s="46"/>
      <c r="Q49" s="46"/>
      <c r="R49" s="46"/>
    </row>
    <row r="50" spans="1:18" hidden="1" x14ac:dyDescent="0.2">
      <c r="A50" s="46"/>
      <c r="B50" s="47" t="str">
        <f>+B41</f>
        <v>Total Acquisition Payments</v>
      </c>
      <c r="C50" s="47">
        <f t="shared" ref="C50:J50" si="16">+C41</f>
        <v>0</v>
      </c>
      <c r="D50" s="47">
        <f t="shared" si="16"/>
        <v>0</v>
      </c>
      <c r="E50" s="47">
        <f t="shared" si="16"/>
        <v>0</v>
      </c>
      <c r="F50" s="47">
        <f t="shared" si="16"/>
        <v>300000</v>
      </c>
      <c r="G50" s="47">
        <f t="shared" si="16"/>
        <v>310000</v>
      </c>
      <c r="H50" s="47">
        <f t="shared" si="16"/>
        <v>320000</v>
      </c>
      <c r="I50" s="47">
        <f t="shared" si="16"/>
        <v>330000</v>
      </c>
      <c r="J50" s="47">
        <f t="shared" si="16"/>
        <v>340000</v>
      </c>
      <c r="K50" s="42"/>
      <c r="M50" s="46"/>
      <c r="N50" s="46"/>
      <c r="O50" s="46"/>
      <c r="P50" s="46"/>
      <c r="Q50" s="46"/>
      <c r="R50" s="46"/>
    </row>
    <row r="51" spans="1:18" hidden="1" x14ac:dyDescent="0.2">
      <c r="A51" s="46"/>
      <c r="B51" s="56" t="s">
        <v>31</v>
      </c>
      <c r="C51" s="153">
        <f>IF(C50&gt;0,C49-C50,0)</f>
        <v>0</v>
      </c>
      <c r="D51" s="153">
        <f t="shared" ref="D51:J51" si="17">IF(D50&gt;0,D49-D50,0)</f>
        <v>0</v>
      </c>
      <c r="E51" s="153">
        <f t="shared" si="17"/>
        <v>0</v>
      </c>
      <c r="F51" s="153" t="e">
        <f t="shared" si="17"/>
        <v>#REF!</v>
      </c>
      <c r="G51" s="153" t="e">
        <f t="shared" si="17"/>
        <v>#REF!</v>
      </c>
      <c r="H51" s="153" t="e">
        <f t="shared" si="17"/>
        <v>#REF!</v>
      </c>
      <c r="I51" s="153" t="e">
        <f t="shared" si="17"/>
        <v>#REF!</v>
      </c>
      <c r="J51" s="153" t="e">
        <f t="shared" si="17"/>
        <v>#REF!</v>
      </c>
      <c r="K51" s="42"/>
      <c r="M51" s="46"/>
      <c r="N51" s="46"/>
      <c r="O51" s="46"/>
      <c r="P51" s="46"/>
      <c r="Q51" s="46"/>
      <c r="R51" s="46"/>
    </row>
    <row r="52" spans="1:18" hidden="1" x14ac:dyDescent="0.2">
      <c r="A52" s="46"/>
      <c r="B52" s="47"/>
      <c r="C52" s="74"/>
      <c r="D52" s="74"/>
      <c r="E52" s="74"/>
      <c r="F52" s="152"/>
      <c r="G52" s="74"/>
      <c r="H52" s="74"/>
      <c r="I52" s="74"/>
      <c r="J52" s="74"/>
      <c r="K52" s="42"/>
      <c r="M52" s="46"/>
      <c r="N52" s="46"/>
      <c r="O52" s="46"/>
      <c r="P52" s="46"/>
      <c r="Q52" s="46"/>
      <c r="R52" s="46"/>
    </row>
    <row r="53" spans="1:18" hidden="1" x14ac:dyDescent="0.2">
      <c r="A53" s="46"/>
      <c r="B53" s="47" t="s">
        <v>32</v>
      </c>
      <c r="C53" s="47"/>
      <c r="D53" s="47"/>
      <c r="E53" s="72" t="e">
        <f>+E32-#REF!</f>
        <v>#REF!</v>
      </c>
      <c r="F53" s="72" t="e">
        <f>+F32-#REF!</f>
        <v>#REF!</v>
      </c>
      <c r="G53" s="72" t="e">
        <f>+G32-#REF!</f>
        <v>#REF!</v>
      </c>
      <c r="H53" s="72" t="e">
        <f>+H32-#REF!</f>
        <v>#REF!</v>
      </c>
      <c r="I53" s="72" t="e">
        <f>+I32-#REF!</f>
        <v>#REF!</v>
      </c>
      <c r="J53" s="72" t="e">
        <f>+J32-#REF!</f>
        <v>#REF!</v>
      </c>
      <c r="K53" s="42"/>
      <c r="M53" s="46"/>
      <c r="N53" s="46"/>
      <c r="O53" s="46"/>
      <c r="P53" s="46"/>
      <c r="Q53" s="46"/>
      <c r="R53" s="46"/>
    </row>
    <row r="54" spans="1:18" hidden="1" x14ac:dyDescent="0.2">
      <c r="A54" s="46"/>
      <c r="B54" s="47" t="s">
        <v>33</v>
      </c>
      <c r="C54" s="47"/>
      <c r="D54" s="47"/>
      <c r="E54" s="47">
        <f t="shared" ref="E54:J54" si="18">+E32-E41</f>
        <v>-289598</v>
      </c>
      <c r="F54" s="47">
        <f t="shared" si="18"/>
        <v>-175899</v>
      </c>
      <c r="G54" s="47">
        <f t="shared" si="18"/>
        <v>-310000</v>
      </c>
      <c r="H54" s="47">
        <f t="shared" si="18"/>
        <v>-320000</v>
      </c>
      <c r="I54" s="47">
        <f t="shared" si="18"/>
        <v>-330000</v>
      </c>
      <c r="J54" s="47">
        <f t="shared" si="18"/>
        <v>-340000</v>
      </c>
      <c r="K54" s="42"/>
      <c r="M54" s="46"/>
      <c r="N54" s="46"/>
      <c r="O54" s="46"/>
      <c r="P54" s="46"/>
      <c r="Q54" s="46"/>
      <c r="R54" s="46"/>
    </row>
    <row r="55" spans="1:18" hidden="1" x14ac:dyDescent="0.2">
      <c r="A55" s="46"/>
      <c r="B55" s="56" t="s">
        <v>34</v>
      </c>
      <c r="C55" s="56"/>
      <c r="D55" s="56"/>
      <c r="E55" s="82" t="e">
        <f>+E54-E53</f>
        <v>#REF!</v>
      </c>
      <c r="F55" s="82" t="e">
        <f t="shared" ref="F55:J55" si="19">+F54-F53</f>
        <v>#REF!</v>
      </c>
      <c r="G55" s="82" t="e">
        <f t="shared" si="19"/>
        <v>#REF!</v>
      </c>
      <c r="H55" s="82" t="e">
        <f t="shared" si="19"/>
        <v>#REF!</v>
      </c>
      <c r="I55" s="82" t="e">
        <f t="shared" si="19"/>
        <v>#REF!</v>
      </c>
      <c r="J55" s="82" t="e">
        <f t="shared" si="19"/>
        <v>#REF!</v>
      </c>
      <c r="K55" s="42"/>
      <c r="M55" s="46"/>
      <c r="N55" s="46"/>
      <c r="O55" s="46"/>
      <c r="P55" s="46"/>
      <c r="Q55" s="46"/>
      <c r="R55" s="46"/>
    </row>
    <row r="56" spans="1:18" hidden="1" x14ac:dyDescent="0.2">
      <c r="A56" s="46"/>
      <c r="B56" s="67" t="s">
        <v>35</v>
      </c>
      <c r="C56" s="83">
        <f>IFERROR(C55/#REF!,0)</f>
        <v>0</v>
      </c>
      <c r="D56" s="83">
        <f>IFERROR(D55/#REF!,0)</f>
        <v>0</v>
      </c>
      <c r="E56" s="83">
        <f>IFERROR(E55/#REF!,0)</f>
        <v>0</v>
      </c>
      <c r="F56" s="83">
        <f>IFERROR(F55/#REF!,0)</f>
        <v>0</v>
      </c>
      <c r="G56" s="83">
        <f>IFERROR(G55/#REF!,0)</f>
        <v>0</v>
      </c>
      <c r="H56" s="83">
        <f>IFERROR(H55/#REF!,0)</f>
        <v>0</v>
      </c>
      <c r="I56" s="83">
        <f>IFERROR(I55/#REF!,0)</f>
        <v>0</v>
      </c>
      <c r="J56" s="83">
        <f>IFERROR(J55/#REF!,0)</f>
        <v>0</v>
      </c>
      <c r="K56" s="47"/>
      <c r="L56" s="46"/>
      <c r="M56" s="46"/>
      <c r="N56" s="46"/>
      <c r="O56" s="46"/>
      <c r="P56" s="46"/>
      <c r="Q56" s="46"/>
      <c r="R56" s="46"/>
    </row>
    <row r="57" spans="1:18" hidden="1" x14ac:dyDescent="0.2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2">
      <c r="A58" s="46"/>
      <c r="B58" s="47" t="s">
        <v>32</v>
      </c>
      <c r="C58" s="47"/>
      <c r="D58" s="47"/>
      <c r="E58" s="84" t="e">
        <f t="shared" ref="E58:J58" si="20">+E53</f>
        <v>#REF!</v>
      </c>
      <c r="F58" s="72" t="e">
        <f t="shared" si="20"/>
        <v>#REF!</v>
      </c>
      <c r="G58" s="72" t="e">
        <f t="shared" si="20"/>
        <v>#REF!</v>
      </c>
      <c r="H58" s="72" t="e">
        <f t="shared" si="20"/>
        <v>#REF!</v>
      </c>
      <c r="I58" s="72" t="e">
        <f t="shared" si="20"/>
        <v>#REF!</v>
      </c>
      <c r="J58" s="72" t="e">
        <f t="shared" si="20"/>
        <v>#REF!</v>
      </c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2">
      <c r="A59" s="46"/>
      <c r="B59" s="47" t="s">
        <v>36</v>
      </c>
      <c r="C59" s="47"/>
      <c r="D59" s="47"/>
      <c r="E59" s="85" t="e">
        <f t="shared" ref="E59:J59" si="21">+E32-E41-E45</f>
        <v>#REF!</v>
      </c>
      <c r="F59" s="85" t="e">
        <f t="shared" si="21"/>
        <v>#REF!</v>
      </c>
      <c r="G59" s="85" t="e">
        <f t="shared" si="21"/>
        <v>#REF!</v>
      </c>
      <c r="H59" s="85" t="e">
        <f t="shared" si="21"/>
        <v>#REF!</v>
      </c>
      <c r="I59" s="85" t="e">
        <f t="shared" si="21"/>
        <v>#REF!</v>
      </c>
      <c r="J59" s="85" t="e">
        <f t="shared" si="21"/>
        <v>#REF!</v>
      </c>
      <c r="K59" s="46"/>
      <c r="L59" s="46"/>
      <c r="M59" s="46"/>
      <c r="N59" s="46"/>
      <c r="O59" s="46"/>
      <c r="P59" s="46"/>
      <c r="Q59" s="46"/>
      <c r="R59" s="46"/>
    </row>
    <row r="60" spans="1:18" hidden="1" x14ac:dyDescent="0.2">
      <c r="A60" s="46"/>
      <c r="B60" s="56" t="s">
        <v>34</v>
      </c>
      <c r="C60" s="56"/>
      <c r="D60" s="56"/>
      <c r="E60" s="82" t="e">
        <f>+E59-E58</f>
        <v>#REF!</v>
      </c>
      <c r="F60" s="82" t="e">
        <f t="shared" ref="F60:J60" si="22">+F59-F58</f>
        <v>#REF!</v>
      </c>
      <c r="G60" s="82" t="e">
        <f t="shared" si="22"/>
        <v>#REF!</v>
      </c>
      <c r="H60" s="82" t="e">
        <f t="shared" si="22"/>
        <v>#REF!</v>
      </c>
      <c r="I60" s="82" t="e">
        <f t="shared" si="22"/>
        <v>#REF!</v>
      </c>
      <c r="J60" s="82" t="e">
        <f t="shared" si="22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">
      <c r="A62" s="46"/>
      <c r="B62" s="145" t="s">
        <v>37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x14ac:dyDescent="0.2">
      <c r="A63" s="46"/>
      <c r="B63" s="231" t="s">
        <v>38</v>
      </c>
      <c r="C63" s="232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</sheetData>
  <hyperlinks>
    <hyperlink ref="E74" r:id="rId1" display="https://www.loopnet.com/nevada/las-vegas_office-space-for-sale/ " xr:uid="{3470230F-ACB0-4DED-BEB5-EE1409AF4E55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158"/>
  <sheetViews>
    <sheetView showGridLines="0" topLeftCell="A16" zoomScale="160" zoomScaleNormal="160" zoomScaleSheetLayoutView="175" workbookViewId="0">
      <selection activeCell="E23" sqref="E23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3" width="12.42578125" style="38" customWidth="1"/>
    <col min="4" max="4" width="13.28515625" style="38" customWidth="1"/>
    <col min="5" max="10" width="11" style="38" customWidth="1"/>
    <col min="11" max="11" width="1.140625" style="38" customWidth="1"/>
    <col min="12" max="12" width="11.28515625" style="38" bestFit="1" customWidth="1"/>
    <col min="13" max="16384" width="9.140625" style="38"/>
  </cols>
  <sheetData>
    <row r="1" spans="1:11" ht="15.75" x14ac:dyDescent="0.25">
      <c r="A1" s="221" t="s">
        <v>39</v>
      </c>
      <c r="B1" s="222"/>
      <c r="C1" s="222"/>
      <c r="F1" s="39"/>
      <c r="G1" s="39"/>
      <c r="H1" s="39"/>
      <c r="I1" s="39"/>
      <c r="J1" s="39"/>
      <c r="K1" s="38" t="s">
        <v>40</v>
      </c>
    </row>
    <row r="2" spans="1:11" ht="15.75" x14ac:dyDescent="0.25">
      <c r="A2" s="156" t="s">
        <v>1</v>
      </c>
      <c r="B2" s="157"/>
      <c r="C2" s="157"/>
      <c r="F2" s="42" t="s">
        <v>2</v>
      </c>
      <c r="G2" s="42"/>
      <c r="H2" s="42"/>
      <c r="K2" s="38" t="s">
        <v>40</v>
      </c>
    </row>
    <row r="3" spans="1:11" x14ac:dyDescent="0.2">
      <c r="A3" s="43" t="s">
        <v>3</v>
      </c>
      <c r="I3" s="227" t="s">
        <v>4</v>
      </c>
      <c r="J3" s="224"/>
      <c r="K3" s="38" t="s">
        <v>40</v>
      </c>
    </row>
    <row r="4" spans="1:11" x14ac:dyDescent="0.2">
      <c r="A4" s="44" t="s">
        <v>5</v>
      </c>
      <c r="K4" s="38" t="s">
        <v>40</v>
      </c>
    </row>
    <row r="5" spans="1:11" x14ac:dyDescent="0.2">
      <c r="A5" s="44"/>
      <c r="C5" s="235" t="s">
        <v>41</v>
      </c>
      <c r="D5" s="235" t="s">
        <v>42</v>
      </c>
      <c r="E5" s="239" t="s">
        <v>43</v>
      </c>
      <c r="F5" s="202"/>
      <c r="G5" s="202"/>
      <c r="H5" s="202"/>
      <c r="I5" s="202"/>
      <c r="J5" s="202"/>
      <c r="K5" s="38" t="s">
        <v>40</v>
      </c>
    </row>
    <row r="6" spans="1:11" x14ac:dyDescent="0.2">
      <c r="A6" s="44"/>
      <c r="B6" s="177" t="s">
        <v>44</v>
      </c>
      <c r="C6" s="244">
        <v>0.05</v>
      </c>
      <c r="D6" s="244">
        <v>0.05</v>
      </c>
      <c r="E6" s="246"/>
      <c r="F6" s="247"/>
      <c r="G6" s="247"/>
      <c r="H6" s="247"/>
      <c r="I6" s="247"/>
      <c r="J6" s="247"/>
      <c r="K6" s="38" t="s">
        <v>40</v>
      </c>
    </row>
    <row r="7" spans="1:11" x14ac:dyDescent="0.2">
      <c r="A7" s="44"/>
      <c r="B7" s="177" t="s">
        <v>45</v>
      </c>
      <c r="C7" s="244"/>
      <c r="D7" s="244"/>
      <c r="E7" s="242"/>
      <c r="F7" s="245"/>
      <c r="G7" s="245"/>
      <c r="H7" s="245"/>
      <c r="I7" s="245"/>
      <c r="J7" s="245"/>
    </row>
    <row r="8" spans="1:11" x14ac:dyDescent="0.2">
      <c r="A8" s="44"/>
      <c r="B8" s="177" t="s">
        <v>46</v>
      </c>
      <c r="C8" s="244">
        <f>IFERROR(C7/C6,0)</f>
        <v>0</v>
      </c>
      <c r="D8" s="244">
        <f>IFERROR(D7/D6,0)</f>
        <v>0</v>
      </c>
      <c r="E8" s="242"/>
      <c r="F8" s="245"/>
      <c r="G8" s="245"/>
      <c r="H8" s="245"/>
      <c r="I8" s="245"/>
      <c r="J8" s="245"/>
    </row>
    <row r="9" spans="1:11" x14ac:dyDescent="0.2">
      <c r="A9" s="44"/>
      <c r="B9" s="177" t="s">
        <v>47</v>
      </c>
      <c r="C9" s="243"/>
      <c r="D9" s="243"/>
      <c r="E9" s="242" t="s">
        <v>48</v>
      </c>
      <c r="F9" s="245"/>
      <c r="G9" s="245"/>
      <c r="H9" s="245"/>
      <c r="I9" s="245"/>
      <c r="J9" s="245"/>
    </row>
    <row r="10" spans="1:11" x14ac:dyDescent="0.2">
      <c r="A10" s="44"/>
      <c r="B10" s="177"/>
      <c r="C10" s="243"/>
      <c r="D10" s="243"/>
      <c r="E10" s="242"/>
      <c r="F10" s="245"/>
      <c r="G10" s="245"/>
      <c r="H10" s="245"/>
      <c r="I10" s="245"/>
      <c r="J10" s="245"/>
    </row>
    <row r="11" spans="1:11" x14ac:dyDescent="0.2">
      <c r="A11" s="44"/>
      <c r="B11" s="177" t="s">
        <v>49</v>
      </c>
      <c r="C11" s="243">
        <v>0.05</v>
      </c>
      <c r="D11" s="243">
        <v>0.05</v>
      </c>
      <c r="E11" s="242"/>
      <c r="F11" s="245"/>
      <c r="G11" s="245"/>
      <c r="H11" s="245"/>
      <c r="I11" s="245"/>
      <c r="J11" s="245"/>
    </row>
    <row r="12" spans="1:11" x14ac:dyDescent="0.2">
      <c r="A12" s="44"/>
      <c r="B12" s="177" t="s">
        <v>50</v>
      </c>
      <c r="C12" s="236">
        <v>30</v>
      </c>
      <c r="D12" s="236">
        <v>40</v>
      </c>
      <c r="E12" s="246"/>
      <c r="F12" s="248"/>
      <c r="G12" s="248"/>
      <c r="H12" s="248"/>
      <c r="I12" s="248"/>
      <c r="J12" s="248"/>
      <c r="K12" s="38" t="s">
        <v>40</v>
      </c>
    </row>
    <row r="13" spans="1:11" x14ac:dyDescent="0.2">
      <c r="A13" s="44"/>
      <c r="B13" s="177" t="s">
        <v>51</v>
      </c>
      <c r="C13" s="237">
        <v>20000000</v>
      </c>
      <c r="D13" s="237">
        <v>20000000</v>
      </c>
      <c r="E13" s="246"/>
      <c r="F13" s="248"/>
      <c r="G13" s="248"/>
      <c r="H13" s="248"/>
      <c r="I13" s="248"/>
      <c r="J13" s="248"/>
      <c r="K13" s="38" t="s">
        <v>40</v>
      </c>
    </row>
    <row r="14" spans="1:11" x14ac:dyDescent="0.2">
      <c r="A14" s="44"/>
      <c r="B14" s="177" t="s">
        <v>27</v>
      </c>
      <c r="C14" s="237">
        <v>2000000</v>
      </c>
      <c r="D14" s="237">
        <v>20000000</v>
      </c>
      <c r="E14" s="246"/>
      <c r="F14" s="248"/>
      <c r="G14" s="248"/>
      <c r="H14" s="248"/>
      <c r="I14" s="248"/>
      <c r="J14" s="248"/>
      <c r="K14" s="38" t="s">
        <v>40</v>
      </c>
    </row>
    <row r="15" spans="1:11" x14ac:dyDescent="0.2">
      <c r="A15" s="44"/>
      <c r="B15" s="177" t="s">
        <v>52</v>
      </c>
      <c r="C15" s="237">
        <v>2000000</v>
      </c>
      <c r="D15" s="237">
        <v>20000000</v>
      </c>
      <c r="E15" s="246"/>
      <c r="F15" s="248"/>
      <c r="G15" s="248"/>
      <c r="H15" s="248"/>
      <c r="I15" s="248"/>
      <c r="J15" s="248"/>
      <c r="K15" s="38" t="s">
        <v>40</v>
      </c>
    </row>
    <row r="16" spans="1:11" x14ac:dyDescent="0.2">
      <c r="A16" s="44"/>
      <c r="B16" s="177" t="s">
        <v>53</v>
      </c>
      <c r="C16" s="237"/>
      <c r="D16" s="237"/>
      <c r="E16" s="246"/>
      <c r="F16" s="248"/>
      <c r="G16" s="248"/>
      <c r="H16" s="248"/>
      <c r="I16" s="248"/>
      <c r="J16" s="248"/>
      <c r="K16" s="38" t="s">
        <v>40</v>
      </c>
    </row>
    <row r="17" spans="1:18" x14ac:dyDescent="0.2">
      <c r="A17" s="44"/>
      <c r="B17" s="177" t="s">
        <v>54</v>
      </c>
      <c r="C17" s="237">
        <v>20000000</v>
      </c>
      <c r="D17" s="237">
        <v>20000000</v>
      </c>
      <c r="E17" s="242"/>
      <c r="F17" s="238"/>
      <c r="G17" s="238"/>
      <c r="H17" s="238"/>
      <c r="I17" s="238"/>
      <c r="J17" s="238"/>
    </row>
    <row r="18" spans="1:18" x14ac:dyDescent="0.2">
      <c r="A18" s="44"/>
      <c r="B18" s="177" t="s">
        <v>55</v>
      </c>
      <c r="C18" s="237">
        <v>2000000</v>
      </c>
      <c r="D18" s="237">
        <v>20000000</v>
      </c>
      <c r="E18" s="242" t="s">
        <v>56</v>
      </c>
      <c r="F18" s="238"/>
      <c r="G18" s="238"/>
      <c r="H18" s="238"/>
      <c r="I18" s="238"/>
      <c r="J18" s="238"/>
    </row>
    <row r="19" spans="1:18" x14ac:dyDescent="0.2">
      <c r="A19" s="44"/>
      <c r="K19" s="38" t="s">
        <v>40</v>
      </c>
    </row>
    <row r="20" spans="1:18" x14ac:dyDescent="0.2">
      <c r="A20" s="45"/>
      <c r="C20" s="178"/>
      <c r="D20" s="178"/>
      <c r="E20" s="179" t="s">
        <v>6</v>
      </c>
      <c r="F20" s="180" t="s">
        <v>57</v>
      </c>
      <c r="G20" s="181"/>
      <c r="H20" s="181"/>
      <c r="I20" s="181"/>
      <c r="J20" s="181"/>
      <c r="K20" s="38" t="s">
        <v>40</v>
      </c>
    </row>
    <row r="21" spans="1:18" ht="13.5" x14ac:dyDescent="0.25">
      <c r="A21" s="46"/>
      <c r="B21" s="233" t="s">
        <v>58</v>
      </c>
      <c r="C21" s="47"/>
      <c r="D21" s="47"/>
      <c r="F21" s="48">
        <v>1</v>
      </c>
      <c r="G21" s="48">
        <v>2</v>
      </c>
      <c r="H21" s="48">
        <v>3</v>
      </c>
      <c r="I21" s="48">
        <v>4</v>
      </c>
      <c r="J21" s="48">
        <v>5</v>
      </c>
      <c r="K21" s="240" t="s">
        <v>40</v>
      </c>
      <c r="M21" s="46"/>
      <c r="N21" s="46"/>
      <c r="O21" s="46"/>
      <c r="P21" s="46"/>
      <c r="Q21" s="46"/>
      <c r="R21" s="46"/>
    </row>
    <row r="22" spans="1:18" x14ac:dyDescent="0.2">
      <c r="A22" s="46"/>
      <c r="B22" s="49"/>
      <c r="C22" s="50">
        <f>+D22-1</f>
        <v>2021</v>
      </c>
      <c r="D22" s="50">
        <f>+E22-1</f>
        <v>2022</v>
      </c>
      <c r="E22" s="51">
        <v>2023</v>
      </c>
      <c r="F22" s="223">
        <f t="shared" ref="F22:J22" si="0">1+E22</f>
        <v>2024</v>
      </c>
      <c r="G22" s="223">
        <f t="shared" si="0"/>
        <v>2025</v>
      </c>
      <c r="H22" s="223">
        <f t="shared" si="0"/>
        <v>2026</v>
      </c>
      <c r="I22" s="223">
        <f t="shared" si="0"/>
        <v>2027</v>
      </c>
      <c r="J22" s="223">
        <f t="shared" si="0"/>
        <v>2028</v>
      </c>
      <c r="K22" s="38" t="s">
        <v>40</v>
      </c>
      <c r="M22" s="46"/>
      <c r="N22" s="46"/>
      <c r="O22" s="46"/>
      <c r="P22" s="46"/>
      <c r="Q22" s="46"/>
      <c r="R22" s="46"/>
    </row>
    <row r="23" spans="1:18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38" t="s">
        <v>40</v>
      </c>
      <c r="M23" s="46"/>
      <c r="N23" s="46"/>
      <c r="O23" s="46"/>
      <c r="P23" s="46"/>
      <c r="Q23" s="46"/>
      <c r="R23" s="46"/>
    </row>
    <row r="24" spans="1:18" x14ac:dyDescent="0.2">
      <c r="A24" s="46"/>
      <c r="B24" s="175" t="s">
        <v>59</v>
      </c>
      <c r="C24" s="50"/>
      <c r="D24" s="50"/>
      <c r="E24" s="50"/>
      <c r="F24" s="50"/>
      <c r="G24" s="50"/>
      <c r="H24" s="50"/>
      <c r="I24" s="50"/>
      <c r="J24" s="50"/>
      <c r="K24" s="38" t="s">
        <v>40</v>
      </c>
      <c r="M24" s="46"/>
      <c r="N24" s="46"/>
      <c r="O24" s="46"/>
      <c r="P24" s="46"/>
      <c r="Q24" s="46"/>
      <c r="R24" s="46"/>
    </row>
    <row r="25" spans="1:18" x14ac:dyDescent="0.2">
      <c r="A25" s="46"/>
      <c r="B25" s="52" t="s">
        <v>9</v>
      </c>
      <c r="C25" s="53">
        <v>110</v>
      </c>
      <c r="D25" s="53">
        <v>110</v>
      </c>
      <c r="E25" s="53">
        <v>110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38" t="s">
        <v>40</v>
      </c>
      <c r="M25" s="46"/>
      <c r="N25" s="46"/>
      <c r="O25" s="46"/>
      <c r="P25" s="46"/>
      <c r="Q25" s="46"/>
      <c r="R25" s="46"/>
    </row>
    <row r="26" spans="1:18" x14ac:dyDescent="0.2">
      <c r="A26" s="46"/>
      <c r="B26" s="54" t="s">
        <v>10</v>
      </c>
      <c r="C26" s="55">
        <v>100</v>
      </c>
      <c r="D26" s="55">
        <v>100</v>
      </c>
      <c r="E26" s="55">
        <v>100</v>
      </c>
      <c r="F26" s="54">
        <v>150</v>
      </c>
      <c r="G26" s="54">
        <f t="shared" ref="G26:J26" si="1">+F26</f>
        <v>150</v>
      </c>
      <c r="H26" s="54">
        <f t="shared" si="1"/>
        <v>150</v>
      </c>
      <c r="I26" s="54">
        <f t="shared" si="1"/>
        <v>150</v>
      </c>
      <c r="J26" s="54">
        <f t="shared" si="1"/>
        <v>150</v>
      </c>
      <c r="K26" s="38" t="s">
        <v>40</v>
      </c>
      <c r="M26" s="46"/>
      <c r="N26" s="46"/>
      <c r="O26" s="46"/>
      <c r="P26" s="46"/>
      <c r="Q26" s="46"/>
      <c r="R26" s="46"/>
    </row>
    <row r="27" spans="1:18" x14ac:dyDescent="0.2">
      <c r="A27" s="46"/>
      <c r="B27" s="56"/>
      <c r="C27" s="57">
        <f>IF(C25&gt;0,C25-C26,0)</f>
        <v>10</v>
      </c>
      <c r="D27" s="57">
        <f t="shared" ref="D27:J27" si="2">IF(D25&gt;0,D25-D26,0)</f>
        <v>10</v>
      </c>
      <c r="E27" s="57">
        <f t="shared" si="2"/>
        <v>10</v>
      </c>
      <c r="F27" s="57">
        <f t="shared" si="2"/>
        <v>0</v>
      </c>
      <c r="G27" s="57">
        <f t="shared" si="2"/>
        <v>0</v>
      </c>
      <c r="H27" s="57">
        <f t="shared" si="2"/>
        <v>0</v>
      </c>
      <c r="I27" s="57">
        <f t="shared" si="2"/>
        <v>0</v>
      </c>
      <c r="J27" s="57">
        <f t="shared" si="2"/>
        <v>0</v>
      </c>
      <c r="K27" s="38" t="s">
        <v>40</v>
      </c>
      <c r="M27" s="46"/>
      <c r="N27" s="46"/>
      <c r="O27" s="46"/>
      <c r="P27" s="46"/>
      <c r="Q27" s="46"/>
      <c r="R27" s="46"/>
    </row>
    <row r="28" spans="1:18" x14ac:dyDescent="0.2">
      <c r="A28" s="46"/>
      <c r="B28" s="47"/>
      <c r="C28" s="190"/>
      <c r="D28" s="190"/>
      <c r="E28" s="190"/>
      <c r="F28" s="190"/>
      <c r="G28" s="190"/>
      <c r="H28" s="190"/>
      <c r="I28" s="190"/>
      <c r="J28" s="190"/>
      <c r="K28" s="38" t="s">
        <v>40</v>
      </c>
      <c r="M28" s="46"/>
      <c r="N28" s="46"/>
      <c r="O28" s="46"/>
      <c r="P28" s="46"/>
      <c r="Q28" s="46"/>
      <c r="R28" s="46"/>
    </row>
    <row r="29" spans="1:18" x14ac:dyDescent="0.2">
      <c r="A29" s="46"/>
      <c r="B29" s="175" t="s">
        <v>60</v>
      </c>
      <c r="C29" s="50"/>
      <c r="D29" s="50"/>
      <c r="E29" s="50"/>
      <c r="F29" s="50"/>
      <c r="G29" s="50"/>
      <c r="H29" s="50"/>
      <c r="I29" s="50"/>
      <c r="J29" s="50"/>
      <c r="K29" s="38" t="s">
        <v>40</v>
      </c>
      <c r="M29" s="46"/>
      <c r="N29" s="46"/>
      <c r="O29" s="46"/>
      <c r="P29" s="46"/>
      <c r="Q29" s="46"/>
      <c r="R29" s="46"/>
    </row>
    <row r="30" spans="1:18" x14ac:dyDescent="0.2">
      <c r="A30" s="46"/>
      <c r="B30" s="58"/>
      <c r="C30" s="147"/>
      <c r="D30" s="147"/>
      <c r="E30" s="147"/>
      <c r="F30" s="147"/>
      <c r="G30" s="147"/>
      <c r="H30" s="147"/>
      <c r="I30" s="147"/>
      <c r="J30" s="147"/>
      <c r="K30" s="38" t="s">
        <v>40</v>
      </c>
      <c r="M30" s="46"/>
      <c r="N30" s="46"/>
      <c r="O30" s="46"/>
      <c r="P30" s="46"/>
      <c r="Q30" s="46"/>
      <c r="R30" s="46"/>
    </row>
    <row r="31" spans="1:18" x14ac:dyDescent="0.2">
      <c r="A31" s="46"/>
      <c r="B31" s="59"/>
      <c r="C31" s="148"/>
      <c r="D31" s="148"/>
      <c r="E31" s="148"/>
      <c r="F31" s="148"/>
      <c r="G31" s="148"/>
      <c r="H31" s="148"/>
      <c r="I31" s="148"/>
      <c r="J31" s="148"/>
      <c r="K31" s="38" t="s">
        <v>40</v>
      </c>
      <c r="M31" s="46"/>
      <c r="N31" s="46"/>
      <c r="O31" s="46"/>
      <c r="P31" s="46"/>
      <c r="Q31" s="46"/>
      <c r="R31" s="46"/>
    </row>
    <row r="32" spans="1:18" x14ac:dyDescent="0.2">
      <c r="A32" s="46"/>
      <c r="B32" s="60" t="s">
        <v>13</v>
      </c>
      <c r="C32" s="149">
        <f t="shared" ref="C32:J32" si="3">7300*C26</f>
        <v>730000</v>
      </c>
      <c r="D32" s="149">
        <f t="shared" si="3"/>
        <v>730000</v>
      </c>
      <c r="E32" s="149">
        <f t="shared" si="3"/>
        <v>730000</v>
      </c>
      <c r="F32" s="149">
        <f t="shared" si="3"/>
        <v>1095000</v>
      </c>
      <c r="G32" s="149">
        <f t="shared" si="3"/>
        <v>1095000</v>
      </c>
      <c r="H32" s="149">
        <f t="shared" si="3"/>
        <v>1095000</v>
      </c>
      <c r="I32" s="149">
        <f t="shared" si="3"/>
        <v>1095000</v>
      </c>
      <c r="J32" s="149">
        <f t="shared" si="3"/>
        <v>1095000</v>
      </c>
      <c r="K32" s="38" t="s">
        <v>40</v>
      </c>
      <c r="M32" s="46"/>
      <c r="N32" s="46"/>
      <c r="O32" s="46"/>
      <c r="P32" s="46"/>
      <c r="Q32" s="46"/>
      <c r="R32" s="46"/>
    </row>
    <row r="33" spans="1:18" x14ac:dyDescent="0.2">
      <c r="A33" s="46"/>
      <c r="B33" s="56" t="s">
        <v>13</v>
      </c>
      <c r="C33" s="56">
        <f>SUM(C30:C32)</f>
        <v>730000</v>
      </c>
      <c r="D33" s="56">
        <f t="shared" ref="D33:J33" si="4">SUM(D30:D32)</f>
        <v>730000</v>
      </c>
      <c r="E33" s="56">
        <f t="shared" si="4"/>
        <v>730000</v>
      </c>
      <c r="F33" s="56">
        <f t="shared" si="4"/>
        <v>1095000</v>
      </c>
      <c r="G33" s="56">
        <f t="shared" si="4"/>
        <v>1095000</v>
      </c>
      <c r="H33" s="56">
        <f t="shared" si="4"/>
        <v>1095000</v>
      </c>
      <c r="I33" s="56">
        <f t="shared" si="4"/>
        <v>1095000</v>
      </c>
      <c r="J33" s="56">
        <f t="shared" si="4"/>
        <v>1095000</v>
      </c>
      <c r="K33" s="38" t="s">
        <v>40</v>
      </c>
      <c r="M33" s="46"/>
      <c r="N33" s="46"/>
      <c r="O33" s="46"/>
      <c r="P33" s="46"/>
      <c r="Q33" s="46"/>
      <c r="R33" s="46"/>
    </row>
    <row r="34" spans="1:18" x14ac:dyDescent="0.2">
      <c r="A34" s="46"/>
      <c r="B34" s="191" t="s">
        <v>14</v>
      </c>
      <c r="C34" s="192">
        <f t="shared" ref="C34:E34" si="5">IF(C$25&gt;0,C33/C$25,C33/C$26)</f>
        <v>6636.363636363636</v>
      </c>
      <c r="D34" s="192">
        <f t="shared" si="5"/>
        <v>6636.363636363636</v>
      </c>
      <c r="E34" s="192">
        <f t="shared" si="5"/>
        <v>6636.363636363636</v>
      </c>
      <c r="F34" s="192">
        <f>IF(F$25&gt;0,F33/F$25,F33/F$26)</f>
        <v>7300</v>
      </c>
      <c r="G34" s="192">
        <f t="shared" ref="G34:J34" si="6">IF(G$25&gt;0,G33/G$25,G33/G$26)</f>
        <v>7300</v>
      </c>
      <c r="H34" s="192">
        <f t="shared" si="6"/>
        <v>7300</v>
      </c>
      <c r="I34" s="192">
        <f t="shared" si="6"/>
        <v>7300</v>
      </c>
      <c r="J34" s="192">
        <f t="shared" si="6"/>
        <v>7300</v>
      </c>
      <c r="K34" s="38" t="s">
        <v>40</v>
      </c>
      <c r="M34" s="46"/>
      <c r="N34" s="46"/>
      <c r="O34" s="46"/>
      <c r="P34" s="46"/>
      <c r="Q34" s="46"/>
      <c r="R34" s="46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38" t="s">
        <v>40</v>
      </c>
      <c r="M35" s="46"/>
      <c r="N35" s="46"/>
      <c r="O35" s="46"/>
      <c r="P35" s="46"/>
      <c r="Q35" s="46"/>
      <c r="R35" s="46"/>
    </row>
    <row r="36" spans="1:18" x14ac:dyDescent="0.2">
      <c r="A36" s="46"/>
      <c r="B36" s="175" t="s">
        <v>61</v>
      </c>
      <c r="C36" s="50"/>
      <c r="D36" s="50"/>
      <c r="E36" s="50"/>
      <c r="F36" s="50"/>
      <c r="G36" s="50"/>
      <c r="H36" s="50"/>
      <c r="I36" s="50"/>
      <c r="J36" s="50"/>
      <c r="K36" s="38" t="s">
        <v>40</v>
      </c>
      <c r="M36" s="46"/>
      <c r="N36" s="46"/>
      <c r="O36" s="46"/>
      <c r="P36" s="46"/>
      <c r="Q36" s="46"/>
      <c r="R36" s="46"/>
    </row>
    <row r="37" spans="1:18" x14ac:dyDescent="0.2">
      <c r="A37" s="46"/>
      <c r="B37" s="62" t="s">
        <v>16</v>
      </c>
      <c r="C37" s="150">
        <v>0</v>
      </c>
      <c r="D37" s="150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38" t="s">
        <v>40</v>
      </c>
      <c r="M37" s="46"/>
      <c r="N37" s="46"/>
      <c r="O37" s="46"/>
      <c r="P37" s="46"/>
      <c r="Q37" s="46"/>
      <c r="R37" s="46"/>
    </row>
    <row r="38" spans="1:18" x14ac:dyDescent="0.2">
      <c r="A38" s="46"/>
      <c r="B38" s="63" t="s">
        <v>17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38" t="s">
        <v>40</v>
      </c>
      <c r="M38" s="46"/>
      <c r="N38" s="46"/>
      <c r="O38" s="46"/>
      <c r="P38" s="46"/>
      <c r="Q38" s="46"/>
      <c r="R38" s="46"/>
    </row>
    <row r="39" spans="1:18" x14ac:dyDescent="0.2">
      <c r="A39" s="241"/>
      <c r="B39" s="54" t="s">
        <v>62</v>
      </c>
      <c r="C39" s="234">
        <v>0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38" t="s">
        <v>40</v>
      </c>
      <c r="M39" s="46"/>
      <c r="N39" s="46"/>
      <c r="O39" s="46"/>
      <c r="P39" s="46"/>
      <c r="Q39" s="46"/>
      <c r="R39" s="46"/>
    </row>
    <row r="40" spans="1:18" x14ac:dyDescent="0.2">
      <c r="A40" s="46"/>
      <c r="B40" s="64" t="s">
        <v>18</v>
      </c>
      <c r="C40" s="184">
        <f>+C32*0.95</f>
        <v>693500</v>
      </c>
      <c r="D40" s="184">
        <f t="shared" ref="D40:J40" si="7">+D32*0.95</f>
        <v>693500</v>
      </c>
      <c r="E40" s="184">
        <f t="shared" si="7"/>
        <v>693500</v>
      </c>
      <c r="F40" s="184">
        <f t="shared" si="7"/>
        <v>1040250</v>
      </c>
      <c r="G40" s="184">
        <f t="shared" si="7"/>
        <v>1040250</v>
      </c>
      <c r="H40" s="184">
        <f t="shared" si="7"/>
        <v>1040250</v>
      </c>
      <c r="I40" s="184">
        <f t="shared" si="7"/>
        <v>1040250</v>
      </c>
      <c r="J40" s="184">
        <f t="shared" si="7"/>
        <v>1040250</v>
      </c>
      <c r="K40" s="38" t="s">
        <v>40</v>
      </c>
      <c r="M40" s="46"/>
      <c r="N40" s="46"/>
      <c r="O40" s="46"/>
      <c r="P40" s="46"/>
      <c r="Q40" s="46"/>
      <c r="R40" s="46"/>
    </row>
    <row r="41" spans="1:18" x14ac:dyDescent="0.2">
      <c r="A41" s="46"/>
      <c r="B41" s="47" t="s">
        <v>20</v>
      </c>
      <c r="C41" s="72">
        <f>SUM(C37:C40)</f>
        <v>693500</v>
      </c>
      <c r="D41" s="72">
        <f>SUM(D37:D40)</f>
        <v>693500</v>
      </c>
      <c r="E41" s="72">
        <f t="shared" ref="E41:J41" si="8">SUM(E37:E40)</f>
        <v>693500</v>
      </c>
      <c r="F41" s="72">
        <f t="shared" si="8"/>
        <v>1040250</v>
      </c>
      <c r="G41" s="72">
        <f t="shared" si="8"/>
        <v>1040250</v>
      </c>
      <c r="H41" s="72">
        <f t="shared" si="8"/>
        <v>1040250</v>
      </c>
      <c r="I41" s="72">
        <f t="shared" si="8"/>
        <v>1040250</v>
      </c>
      <c r="J41" s="72">
        <f t="shared" si="8"/>
        <v>1040250</v>
      </c>
      <c r="K41" s="38" t="s">
        <v>40</v>
      </c>
      <c r="M41" s="46"/>
      <c r="N41" s="46"/>
      <c r="O41" s="46"/>
      <c r="P41" s="46"/>
      <c r="Q41" s="46"/>
      <c r="R41" s="46"/>
    </row>
    <row r="42" spans="1:18" x14ac:dyDescent="0.2">
      <c r="A42" s="46"/>
      <c r="B42" s="191" t="s">
        <v>21</v>
      </c>
      <c r="C42" s="192">
        <f t="shared" ref="C42:E42" si="9">IF(C$25&gt;0,C41/C$25,C41/C$26)</f>
        <v>6304.545454545455</v>
      </c>
      <c r="D42" s="192">
        <f t="shared" si="9"/>
        <v>6304.545454545455</v>
      </c>
      <c r="E42" s="192">
        <f t="shared" si="9"/>
        <v>6304.545454545455</v>
      </c>
      <c r="F42" s="192">
        <f>IF(F$25&gt;0,F41/F$25,F41/F$26)</f>
        <v>6935</v>
      </c>
      <c r="G42" s="192">
        <f t="shared" ref="G42:J42" si="10">IF(G$25&gt;0,G41/G$25,G41/G$26)</f>
        <v>6935</v>
      </c>
      <c r="H42" s="192">
        <f t="shared" si="10"/>
        <v>6935</v>
      </c>
      <c r="I42" s="192">
        <f t="shared" si="10"/>
        <v>6935</v>
      </c>
      <c r="J42" s="192">
        <f t="shared" si="10"/>
        <v>6935</v>
      </c>
      <c r="K42" s="38" t="s">
        <v>40</v>
      </c>
      <c r="M42" s="46"/>
      <c r="N42" s="46"/>
      <c r="O42" s="46"/>
      <c r="P42" s="46"/>
      <c r="Q42" s="46"/>
      <c r="R42" s="46"/>
    </row>
    <row r="43" spans="1:18" x14ac:dyDescent="0.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38" t="s">
        <v>40</v>
      </c>
      <c r="M43" s="46"/>
      <c r="N43" s="46"/>
      <c r="O43" s="46"/>
      <c r="P43" s="46"/>
      <c r="Q43" s="46"/>
      <c r="R43" s="46"/>
    </row>
    <row r="44" spans="1:18" ht="13.5" thickBot="1" x14ac:dyDescent="0.25">
      <c r="A44" s="46"/>
      <c r="B44" s="186" t="s">
        <v>22</v>
      </c>
      <c r="C44" s="66">
        <f t="shared" ref="C44:J44" si="11">SUM(C30:C32)-C41</f>
        <v>36500</v>
      </c>
      <c r="D44" s="66">
        <f t="shared" si="11"/>
        <v>36500</v>
      </c>
      <c r="E44" s="66">
        <f t="shared" si="11"/>
        <v>36500</v>
      </c>
      <c r="F44" s="66">
        <f t="shared" si="11"/>
        <v>54750</v>
      </c>
      <c r="G44" s="66">
        <f t="shared" si="11"/>
        <v>54750</v>
      </c>
      <c r="H44" s="66">
        <f t="shared" si="11"/>
        <v>54750</v>
      </c>
      <c r="I44" s="66">
        <f t="shared" si="11"/>
        <v>54750</v>
      </c>
      <c r="J44" s="66">
        <f t="shared" si="11"/>
        <v>54750</v>
      </c>
      <c r="K44" s="38" t="s">
        <v>40</v>
      </c>
      <c r="M44" s="46"/>
      <c r="N44" s="46"/>
      <c r="O44" s="46"/>
      <c r="P44" s="46"/>
      <c r="Q44" s="46"/>
      <c r="R44" s="46"/>
    </row>
    <row r="45" spans="1:18" ht="13.5" thickTop="1" x14ac:dyDescent="0.2">
      <c r="A45" s="46"/>
      <c r="B45" s="67" t="s">
        <v>23</v>
      </c>
      <c r="C45" s="47"/>
      <c r="D45" s="47"/>
      <c r="E45" s="47"/>
      <c r="F45" s="72">
        <f>+F44+E45</f>
        <v>54750</v>
      </c>
      <c r="G45" s="72">
        <f t="shared" ref="G45:J45" si="12">+G44+F45</f>
        <v>109500</v>
      </c>
      <c r="H45" s="72">
        <f t="shared" si="12"/>
        <v>164250</v>
      </c>
      <c r="I45" s="72">
        <f t="shared" si="12"/>
        <v>219000</v>
      </c>
      <c r="J45" s="72">
        <f t="shared" si="12"/>
        <v>273750</v>
      </c>
      <c r="K45" s="38" t="s">
        <v>40</v>
      </c>
      <c r="M45" s="46"/>
      <c r="N45" s="46"/>
      <c r="O45" s="46"/>
      <c r="P45" s="46"/>
      <c r="Q45" s="46"/>
      <c r="R45" s="46"/>
    </row>
    <row r="46" spans="1:18" x14ac:dyDescent="0.2">
      <c r="A46" s="46"/>
      <c r="B46" s="67"/>
      <c r="C46" s="47"/>
      <c r="D46" s="47"/>
      <c r="E46" s="47"/>
      <c r="F46" s="47"/>
      <c r="G46" s="47"/>
      <c r="H46" s="47"/>
      <c r="I46" s="47"/>
      <c r="J46" s="47"/>
      <c r="K46" s="38" t="s">
        <v>40</v>
      </c>
      <c r="M46" s="46"/>
      <c r="N46" s="46"/>
      <c r="O46" s="46"/>
      <c r="P46" s="46"/>
      <c r="Q46" s="46"/>
      <c r="R46" s="46"/>
    </row>
    <row r="47" spans="1:18" ht="15.75" x14ac:dyDescent="0.25">
      <c r="A47" s="46"/>
      <c r="B47" s="163" t="s">
        <v>63</v>
      </c>
      <c r="C47" s="47"/>
      <c r="D47" s="47"/>
      <c r="E47" s="47"/>
      <c r="F47" s="47"/>
      <c r="G47" s="47"/>
      <c r="H47" s="47"/>
      <c r="I47" s="47"/>
      <c r="J47" s="47"/>
      <c r="K47" s="38" t="s">
        <v>40</v>
      </c>
      <c r="M47" s="46"/>
      <c r="N47" s="46"/>
      <c r="O47" s="46"/>
      <c r="P47" s="46"/>
      <c r="Q47" s="46"/>
      <c r="R47" s="46"/>
    </row>
    <row r="48" spans="1:18" x14ac:dyDescent="0.2">
      <c r="A48" s="46"/>
      <c r="B48" s="47"/>
      <c r="C48" s="68"/>
      <c r="D48" s="68"/>
      <c r="E48" s="68"/>
      <c r="F48" s="193" t="s">
        <v>64</v>
      </c>
      <c r="G48" s="194">
        <v>2</v>
      </c>
      <c r="H48" s="194">
        <v>3</v>
      </c>
      <c r="I48" s="194">
        <v>4</v>
      </c>
      <c r="J48" s="194">
        <v>5</v>
      </c>
      <c r="K48" s="38" t="s">
        <v>40</v>
      </c>
      <c r="M48" s="46"/>
      <c r="N48" s="46"/>
      <c r="O48" s="46"/>
      <c r="P48" s="46"/>
      <c r="Q48" s="46"/>
      <c r="R48" s="46"/>
    </row>
    <row r="49" spans="1:18" x14ac:dyDescent="0.2">
      <c r="A49" s="46"/>
      <c r="B49" s="175" t="s">
        <v>65</v>
      </c>
      <c r="C49" s="50">
        <f>+D49-1</f>
        <v>2021</v>
      </c>
      <c r="D49" s="50">
        <f>+E49-1</f>
        <v>2022</v>
      </c>
      <c r="E49" s="50">
        <f>+F49-1</f>
        <v>2023</v>
      </c>
      <c r="F49" s="70">
        <f>+F22</f>
        <v>2024</v>
      </c>
      <c r="G49" s="50">
        <f t="shared" ref="G49" si="13">1+F49</f>
        <v>2025</v>
      </c>
      <c r="H49" s="50">
        <f t="shared" ref="H49" si="14">1+G49</f>
        <v>2026</v>
      </c>
      <c r="I49" s="50">
        <f t="shared" ref="I49" si="15">1+H49</f>
        <v>2027</v>
      </c>
      <c r="J49" s="50">
        <f t="shared" ref="J49" si="16">1+I49</f>
        <v>2028</v>
      </c>
      <c r="K49" s="38" t="s">
        <v>40</v>
      </c>
      <c r="M49" s="46"/>
      <c r="N49" s="46"/>
      <c r="O49" s="46"/>
      <c r="P49" s="46"/>
      <c r="Q49" s="46"/>
      <c r="R49" s="46"/>
    </row>
    <row r="50" spans="1:18" x14ac:dyDescent="0.2">
      <c r="A50" s="46"/>
      <c r="B50" s="71" t="s">
        <v>66</v>
      </c>
      <c r="C50" s="167">
        <v>5000</v>
      </c>
      <c r="D50" s="167">
        <v>5000</v>
      </c>
      <c r="E50" s="167">
        <v>5000</v>
      </c>
      <c r="F50" s="167">
        <v>5000</v>
      </c>
      <c r="G50" s="167">
        <v>5000</v>
      </c>
      <c r="H50" s="167">
        <v>5000</v>
      </c>
      <c r="I50" s="167">
        <v>5000</v>
      </c>
      <c r="J50" s="167">
        <v>5000</v>
      </c>
      <c r="K50" s="38" t="s">
        <v>40</v>
      </c>
      <c r="M50" s="46"/>
      <c r="N50" s="46"/>
      <c r="O50" s="46"/>
      <c r="P50" s="46"/>
      <c r="Q50" s="46"/>
      <c r="R50" s="46"/>
    </row>
    <row r="51" spans="1:18" x14ac:dyDescent="0.2">
      <c r="A51" s="46"/>
      <c r="B51" s="63" t="s">
        <v>67</v>
      </c>
      <c r="C51" s="168"/>
      <c r="D51" s="168"/>
      <c r="E51" s="168"/>
      <c r="F51" s="168">
        <v>8500</v>
      </c>
      <c r="G51" s="168">
        <v>8500</v>
      </c>
      <c r="H51" s="168">
        <v>8500</v>
      </c>
      <c r="I51" s="168">
        <v>8500</v>
      </c>
      <c r="J51" s="168">
        <v>8500</v>
      </c>
      <c r="K51" s="38" t="s">
        <v>40</v>
      </c>
      <c r="M51" s="46"/>
      <c r="N51" s="46"/>
      <c r="O51" s="46"/>
      <c r="P51" s="46"/>
      <c r="Q51" s="46"/>
      <c r="R51" s="46"/>
    </row>
    <row r="52" spans="1:18" x14ac:dyDescent="0.2">
      <c r="A52" s="46"/>
      <c r="B52" s="64"/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38" t="s">
        <v>40</v>
      </c>
      <c r="M52" s="46"/>
      <c r="N52" s="46"/>
      <c r="O52" s="46"/>
      <c r="P52" s="46"/>
      <c r="Q52" s="46"/>
      <c r="R52" s="46"/>
    </row>
    <row r="53" spans="1:18" x14ac:dyDescent="0.2">
      <c r="A53" s="46"/>
      <c r="B53" s="47" t="s">
        <v>68</v>
      </c>
      <c r="C53" s="72"/>
      <c r="D53" s="72"/>
      <c r="E53" s="72"/>
      <c r="F53" s="47">
        <f>+F51-F50</f>
        <v>3500</v>
      </c>
      <c r="G53" s="47">
        <f t="shared" ref="G53:J53" si="17">+G51-G50</f>
        <v>3500</v>
      </c>
      <c r="H53" s="47">
        <f t="shared" si="17"/>
        <v>3500</v>
      </c>
      <c r="I53" s="47">
        <f t="shared" si="17"/>
        <v>3500</v>
      </c>
      <c r="J53" s="47">
        <f t="shared" si="17"/>
        <v>3500</v>
      </c>
      <c r="K53" s="38" t="s">
        <v>40</v>
      </c>
      <c r="M53" s="46"/>
      <c r="N53" s="46"/>
      <c r="O53" s="46"/>
      <c r="P53" s="46"/>
      <c r="Q53" s="46"/>
      <c r="R53" s="46"/>
    </row>
    <row r="54" spans="1:18" x14ac:dyDescent="0.2">
      <c r="A54" s="46"/>
      <c r="B54" s="47"/>
      <c r="C54" s="72"/>
      <c r="D54" s="72"/>
      <c r="E54" s="72"/>
      <c r="F54" s="47"/>
      <c r="G54" s="47"/>
      <c r="H54" s="47"/>
      <c r="I54" s="47"/>
      <c r="J54" s="47"/>
      <c r="K54" s="38" t="s">
        <v>40</v>
      </c>
      <c r="M54" s="46"/>
      <c r="N54" s="46"/>
      <c r="O54" s="46"/>
      <c r="P54" s="46"/>
      <c r="Q54" s="46"/>
      <c r="R54" s="46"/>
    </row>
    <row r="55" spans="1:18" ht="12.75" customHeight="1" x14ac:dyDescent="0.25">
      <c r="A55" s="46"/>
      <c r="B55" s="163"/>
      <c r="C55" s="68"/>
      <c r="D55" s="68"/>
      <c r="E55" s="68"/>
      <c r="F55" s="69" t="s">
        <v>69</v>
      </c>
      <c r="G55" s="48">
        <v>2</v>
      </c>
      <c r="H55" s="48">
        <v>3</v>
      </c>
      <c r="I55" s="48">
        <v>4</v>
      </c>
      <c r="J55" s="48">
        <v>5</v>
      </c>
      <c r="K55" s="38" t="s">
        <v>40</v>
      </c>
      <c r="M55" s="46"/>
      <c r="N55" s="46"/>
      <c r="O55" s="46"/>
      <c r="P55" s="46"/>
      <c r="Q55" s="46"/>
      <c r="R55" s="46"/>
    </row>
    <row r="56" spans="1:18" x14ac:dyDescent="0.2">
      <c r="A56" s="46"/>
      <c r="B56" s="175" t="s">
        <v>70</v>
      </c>
      <c r="C56" s="50">
        <f>+D56-1</f>
        <v>2021</v>
      </c>
      <c r="D56" s="50">
        <f>+E56-1</f>
        <v>2022</v>
      </c>
      <c r="E56" s="50">
        <f>+F56-1</f>
        <v>2023</v>
      </c>
      <c r="F56" s="70">
        <f>+F$22</f>
        <v>2024</v>
      </c>
      <c r="G56" s="50">
        <f t="shared" ref="G56:I56" si="18">1+F56</f>
        <v>2025</v>
      </c>
      <c r="H56" s="50">
        <f t="shared" si="18"/>
        <v>2026</v>
      </c>
      <c r="I56" s="50">
        <f t="shared" si="18"/>
        <v>2027</v>
      </c>
      <c r="J56" s="50">
        <f>1+I56</f>
        <v>2028</v>
      </c>
      <c r="K56" s="38" t="s">
        <v>40</v>
      </c>
      <c r="M56" s="46"/>
      <c r="N56" s="46"/>
      <c r="O56" s="46"/>
      <c r="P56" s="46"/>
      <c r="Q56" s="46"/>
      <c r="R56" s="46"/>
    </row>
    <row r="57" spans="1:18" x14ac:dyDescent="0.2">
      <c r="A57" s="46"/>
      <c r="B57" s="164" t="str">
        <f>+B50</f>
        <v>Current facility leased</v>
      </c>
      <c r="C57" s="169">
        <f>0.16*C32</f>
        <v>116800</v>
      </c>
      <c r="D57" s="169">
        <f>1.06*C57</f>
        <v>123808</v>
      </c>
      <c r="E57" s="169">
        <f t="shared" ref="E57:J57" si="19">1.06*D57</f>
        <v>131236.48000000001</v>
      </c>
      <c r="F57" s="169">
        <f t="shared" si="19"/>
        <v>139110.66880000001</v>
      </c>
      <c r="G57" s="169">
        <f t="shared" si="19"/>
        <v>147457.30892800001</v>
      </c>
      <c r="H57" s="169">
        <f t="shared" si="19"/>
        <v>156304.74746368002</v>
      </c>
      <c r="I57" s="169">
        <f t="shared" si="19"/>
        <v>165683.03231150084</v>
      </c>
      <c r="J57" s="169">
        <f t="shared" si="19"/>
        <v>175624.0142501909</v>
      </c>
      <c r="K57" s="38" t="s">
        <v>40</v>
      </c>
      <c r="L57" s="176"/>
      <c r="M57" s="46"/>
      <c r="N57" s="46"/>
      <c r="O57" s="46"/>
      <c r="P57" s="46"/>
      <c r="Q57" s="46"/>
      <c r="R57" s="46"/>
    </row>
    <row r="58" spans="1:18" x14ac:dyDescent="0.2">
      <c r="A58" s="46"/>
      <c r="B58" s="165" t="str">
        <f>+B51</f>
        <v>Proposed facility to acquire</v>
      </c>
      <c r="C58" s="170">
        <v>0</v>
      </c>
      <c r="D58" s="170">
        <v>0</v>
      </c>
      <c r="E58" s="170">
        <v>0</v>
      </c>
      <c r="F58" s="171">
        <f>+F32*0.12</f>
        <v>131400</v>
      </c>
      <c r="G58" s="171">
        <f>+F58*1.03</f>
        <v>135342</v>
      </c>
      <c r="H58" s="171">
        <f t="shared" ref="H58:J58" si="20">+G58*1.03</f>
        <v>139402.26</v>
      </c>
      <c r="I58" s="171">
        <f t="shared" si="20"/>
        <v>143584.3278</v>
      </c>
      <c r="J58" s="171">
        <f t="shared" si="20"/>
        <v>147891.85763400001</v>
      </c>
      <c r="K58" s="38" t="s">
        <v>40</v>
      </c>
      <c r="M58" s="46"/>
      <c r="N58" s="46"/>
      <c r="O58" s="46"/>
      <c r="P58" s="46"/>
      <c r="Q58" s="46"/>
      <c r="R58" s="46"/>
    </row>
    <row r="59" spans="1:18" x14ac:dyDescent="0.2">
      <c r="A59" s="46"/>
      <c r="B59" s="166"/>
      <c r="C59" s="172">
        <v>0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38" t="s">
        <v>40</v>
      </c>
      <c r="M59" s="46"/>
      <c r="N59" s="46"/>
      <c r="O59" s="46"/>
      <c r="P59" s="46"/>
      <c r="Q59" s="46"/>
      <c r="R59" s="46"/>
    </row>
    <row r="60" spans="1:18" x14ac:dyDescent="0.2">
      <c r="A60" s="46"/>
      <c r="B60" s="67" t="s">
        <v>71</v>
      </c>
      <c r="C60" s="159">
        <f>IF(C58&gt;0,C57-C58,0)</f>
        <v>0</v>
      </c>
      <c r="D60" s="159">
        <f t="shared" ref="D60:J60" si="21">IF(D58&gt;0,D57-D58,0)</f>
        <v>0</v>
      </c>
      <c r="E60" s="159">
        <f t="shared" si="21"/>
        <v>0</v>
      </c>
      <c r="F60" s="159">
        <f t="shared" si="21"/>
        <v>7710.668800000014</v>
      </c>
      <c r="G60" s="159">
        <f t="shared" si="21"/>
        <v>12115.308928000013</v>
      </c>
      <c r="H60" s="159">
        <f t="shared" si="21"/>
        <v>16902.487463680009</v>
      </c>
      <c r="I60" s="159">
        <f t="shared" si="21"/>
        <v>22098.704511500837</v>
      </c>
      <c r="J60" s="159">
        <f t="shared" si="21"/>
        <v>27732.156616190885</v>
      </c>
      <c r="K60" s="38" t="s">
        <v>40</v>
      </c>
      <c r="M60" s="46"/>
      <c r="N60" s="46"/>
      <c r="O60" s="46"/>
      <c r="P60" s="46"/>
      <c r="Q60" s="46"/>
      <c r="R60" s="46"/>
    </row>
    <row r="61" spans="1:18" x14ac:dyDescent="0.2">
      <c r="A61" s="46"/>
      <c r="B61" s="67" t="s">
        <v>72</v>
      </c>
      <c r="C61" s="159"/>
      <c r="D61" s="159"/>
      <c r="E61" s="159"/>
      <c r="F61" s="159">
        <f>+E61+F60</f>
        <v>7710.668800000014</v>
      </c>
      <c r="G61" s="159">
        <f t="shared" ref="G61:J61" si="22">+F61+G60</f>
        <v>19825.977728000027</v>
      </c>
      <c r="H61" s="159">
        <f t="shared" si="22"/>
        <v>36728.465191680036</v>
      </c>
      <c r="I61" s="159">
        <f t="shared" si="22"/>
        <v>58827.169703180873</v>
      </c>
      <c r="J61" s="159">
        <f t="shared" si="22"/>
        <v>86559.326319371758</v>
      </c>
      <c r="K61" s="38" t="s">
        <v>40</v>
      </c>
      <c r="M61" s="46"/>
      <c r="N61" s="46"/>
      <c r="O61" s="46"/>
      <c r="P61" s="46"/>
      <c r="Q61" s="46"/>
      <c r="R61" s="46"/>
    </row>
    <row r="62" spans="1:18" x14ac:dyDescent="0.2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38" t="s">
        <v>40</v>
      </c>
      <c r="M62" s="46"/>
      <c r="N62" s="46"/>
      <c r="O62" s="46"/>
      <c r="P62" s="46"/>
      <c r="Q62" s="46"/>
      <c r="R62" s="46"/>
    </row>
    <row r="63" spans="1:18" ht="15.75" x14ac:dyDescent="0.25">
      <c r="A63" s="46"/>
      <c r="B63" s="163"/>
      <c r="C63" s="68"/>
      <c r="D63" s="68"/>
      <c r="E63" s="68"/>
      <c r="F63" s="69" t="s">
        <v>69</v>
      </c>
      <c r="G63" s="48">
        <v>2</v>
      </c>
      <c r="H63" s="48">
        <v>3</v>
      </c>
      <c r="I63" s="48">
        <v>4</v>
      </c>
      <c r="J63" s="48">
        <v>5</v>
      </c>
      <c r="K63" s="38" t="s">
        <v>40</v>
      </c>
      <c r="M63" s="46"/>
      <c r="N63" s="46"/>
      <c r="O63" s="46"/>
      <c r="P63" s="46"/>
      <c r="Q63" s="46"/>
      <c r="R63" s="46"/>
    </row>
    <row r="64" spans="1:18" x14ac:dyDescent="0.2">
      <c r="A64" s="46"/>
      <c r="B64" s="175" t="s">
        <v>73</v>
      </c>
      <c r="C64" s="50">
        <f>+D64-1</f>
        <v>2021</v>
      </c>
      <c r="D64" s="50">
        <f>+E64-1</f>
        <v>2022</v>
      </c>
      <c r="E64" s="50">
        <f>+F64-1</f>
        <v>2023</v>
      </c>
      <c r="F64" s="70">
        <f>+F$22</f>
        <v>2024</v>
      </c>
      <c r="G64" s="50">
        <f t="shared" ref="G64" si="23">1+F64</f>
        <v>2025</v>
      </c>
      <c r="H64" s="50">
        <f t="shared" ref="H64" si="24">1+G64</f>
        <v>2026</v>
      </c>
      <c r="I64" s="50">
        <f t="shared" ref="I64" si="25">1+H64</f>
        <v>2027</v>
      </c>
      <c r="J64" s="50">
        <f t="shared" ref="J64" si="26">1+I64</f>
        <v>2028</v>
      </c>
      <c r="K64" s="38" t="s">
        <v>40</v>
      </c>
      <c r="M64" s="46"/>
      <c r="N64" s="46"/>
      <c r="O64" s="46"/>
      <c r="P64" s="46"/>
      <c r="Q64" s="46"/>
      <c r="R64" s="46"/>
    </row>
    <row r="65" spans="1:18" x14ac:dyDescent="0.2">
      <c r="A65" s="46"/>
      <c r="B65" s="164" t="str">
        <f>+B57</f>
        <v>Current facility leased</v>
      </c>
      <c r="C65" s="169">
        <v>20000</v>
      </c>
      <c r="D65" s="169">
        <v>20000</v>
      </c>
      <c r="E65" s="169">
        <v>20000</v>
      </c>
      <c r="F65" s="169">
        <v>20000</v>
      </c>
      <c r="G65" s="169">
        <v>20000</v>
      </c>
      <c r="H65" s="169">
        <v>20000</v>
      </c>
      <c r="I65" s="169">
        <v>20000</v>
      </c>
      <c r="J65" s="169">
        <v>20000</v>
      </c>
      <c r="K65" s="38" t="s">
        <v>40</v>
      </c>
      <c r="M65" s="46"/>
      <c r="N65" s="46"/>
      <c r="O65" s="46"/>
      <c r="P65" s="46"/>
      <c r="Q65" s="46"/>
      <c r="R65" s="46"/>
    </row>
    <row r="66" spans="1:18" x14ac:dyDescent="0.2">
      <c r="A66" s="46"/>
      <c r="B66" s="165" t="str">
        <f>+B58</f>
        <v>Proposed facility to acquire</v>
      </c>
      <c r="C66" s="170">
        <v>0</v>
      </c>
      <c r="D66" s="170">
        <v>0</v>
      </c>
      <c r="E66" s="170">
        <v>0</v>
      </c>
      <c r="F66" s="171">
        <v>22000</v>
      </c>
      <c r="G66" s="171">
        <v>22000</v>
      </c>
      <c r="H66" s="171">
        <v>22000</v>
      </c>
      <c r="I66" s="171">
        <v>22000</v>
      </c>
      <c r="J66" s="171">
        <v>22000</v>
      </c>
      <c r="K66" s="38" t="s">
        <v>40</v>
      </c>
      <c r="M66" s="46"/>
      <c r="N66" s="46"/>
      <c r="O66" s="46"/>
      <c r="P66" s="46"/>
      <c r="Q66" s="46"/>
      <c r="R66" s="46"/>
    </row>
    <row r="67" spans="1:18" x14ac:dyDescent="0.2">
      <c r="A67" s="46"/>
      <c r="B67" s="166" t="s">
        <v>74</v>
      </c>
      <c r="C67" s="172">
        <v>0</v>
      </c>
      <c r="D67" s="172">
        <v>0</v>
      </c>
      <c r="E67" s="172">
        <v>0</v>
      </c>
      <c r="F67" s="172">
        <f>0.03*F51</f>
        <v>255</v>
      </c>
      <c r="G67" s="172">
        <f>1.03*F67</f>
        <v>262.65000000000003</v>
      </c>
      <c r="H67" s="172">
        <f t="shared" ref="H67:J67" si="27">1.03*G67</f>
        <v>270.52950000000004</v>
      </c>
      <c r="I67" s="172">
        <f t="shared" si="27"/>
        <v>278.64538500000003</v>
      </c>
      <c r="J67" s="172">
        <f t="shared" si="27"/>
        <v>287.00474655000005</v>
      </c>
      <c r="K67" s="38" t="s">
        <v>40</v>
      </c>
      <c r="M67" s="46"/>
      <c r="N67" s="46"/>
      <c r="O67" s="46"/>
      <c r="P67" s="46"/>
      <c r="Q67" s="46"/>
      <c r="R67" s="46"/>
    </row>
    <row r="68" spans="1:18" x14ac:dyDescent="0.2">
      <c r="A68" s="46"/>
      <c r="B68" s="67" t="s">
        <v>75</v>
      </c>
      <c r="C68" s="159">
        <f>IF(C66&gt;0,C65-(C66+C67),0)</f>
        <v>0</v>
      </c>
      <c r="D68" s="159">
        <f t="shared" ref="D68:J68" si="28">IF(D66&gt;0,D65-(D66+D67),0)</f>
        <v>0</v>
      </c>
      <c r="E68" s="159">
        <f t="shared" si="28"/>
        <v>0</v>
      </c>
      <c r="F68" s="159">
        <f t="shared" si="28"/>
        <v>-2255</v>
      </c>
      <c r="G68" s="159">
        <f t="shared" si="28"/>
        <v>-2262.6500000000015</v>
      </c>
      <c r="H68" s="159">
        <f t="shared" si="28"/>
        <v>-2270.5295000000006</v>
      </c>
      <c r="I68" s="159">
        <f t="shared" si="28"/>
        <v>-2278.6453849999998</v>
      </c>
      <c r="J68" s="159">
        <f t="shared" si="28"/>
        <v>-2287.0047465499993</v>
      </c>
      <c r="K68" s="38" t="s">
        <v>40</v>
      </c>
      <c r="M68" s="46"/>
      <c r="N68" s="46"/>
      <c r="O68" s="46"/>
      <c r="P68" s="46"/>
      <c r="Q68" s="46"/>
      <c r="R68" s="46"/>
    </row>
    <row r="69" spans="1:18" x14ac:dyDescent="0.2">
      <c r="A69" s="46"/>
      <c r="B69" s="47"/>
      <c r="C69" s="72"/>
      <c r="D69" s="72"/>
      <c r="E69" s="72"/>
      <c r="F69" s="72"/>
      <c r="G69" s="72"/>
      <c r="H69" s="72"/>
      <c r="I69" s="72"/>
      <c r="J69" s="72"/>
      <c r="K69" s="38" t="s">
        <v>40</v>
      </c>
      <c r="M69" s="46"/>
      <c r="N69" s="46"/>
      <c r="O69" s="46"/>
      <c r="P69" s="46"/>
      <c r="Q69" s="46"/>
      <c r="R69" s="46"/>
    </row>
    <row r="70" spans="1:18" x14ac:dyDescent="0.2">
      <c r="A70" s="46"/>
      <c r="B70" s="173" t="s">
        <v>76</v>
      </c>
      <c r="C70" s="174">
        <f t="shared" ref="C70:E70" si="29">+C60+C68</f>
        <v>0</v>
      </c>
      <c r="D70" s="174">
        <f t="shared" si="29"/>
        <v>0</v>
      </c>
      <c r="E70" s="174">
        <f t="shared" si="29"/>
        <v>0</v>
      </c>
      <c r="F70" s="174">
        <f>+F60+F68</f>
        <v>5455.668800000014</v>
      </c>
      <c r="G70" s="174">
        <f>+G60+G68</f>
        <v>9852.6589280000117</v>
      </c>
      <c r="H70" s="174">
        <f t="shared" ref="H70:J70" si="30">+H60+H68</f>
        <v>14631.957963680008</v>
      </c>
      <c r="I70" s="174">
        <f t="shared" si="30"/>
        <v>19820.059126500837</v>
      </c>
      <c r="J70" s="174">
        <f t="shared" si="30"/>
        <v>25445.151869640886</v>
      </c>
      <c r="K70" s="38" t="s">
        <v>40</v>
      </c>
      <c r="M70" s="46"/>
      <c r="N70" s="46"/>
      <c r="O70" s="46"/>
      <c r="P70" s="46"/>
      <c r="Q70" s="46"/>
      <c r="R70" s="46"/>
    </row>
    <row r="71" spans="1:18" x14ac:dyDescent="0.2">
      <c r="A71" s="46"/>
      <c r="B71" s="67" t="s">
        <v>72</v>
      </c>
      <c r="C71" s="159"/>
      <c r="D71" s="159"/>
      <c r="E71" s="159"/>
      <c r="F71" s="159">
        <f>+E71+F70</f>
        <v>5455.668800000014</v>
      </c>
      <c r="G71" s="159">
        <f t="shared" ref="G71" si="31">+F71+G70</f>
        <v>15308.327728000026</v>
      </c>
      <c r="H71" s="159">
        <f t="shared" ref="H71" si="32">+G71+H70</f>
        <v>29940.285691680034</v>
      </c>
      <c r="I71" s="159">
        <f t="shared" ref="I71" si="33">+H71+I70</f>
        <v>49760.344818180871</v>
      </c>
      <c r="J71" s="159">
        <f t="shared" ref="J71" si="34">+I71+J70</f>
        <v>75205.496687821753</v>
      </c>
      <c r="K71" s="38" t="s">
        <v>40</v>
      </c>
      <c r="M71" s="46"/>
      <c r="N71" s="46"/>
      <c r="O71" s="46"/>
      <c r="P71" s="46"/>
      <c r="Q71" s="46"/>
      <c r="R71" s="46"/>
    </row>
    <row r="72" spans="1:18" x14ac:dyDescent="0.2">
      <c r="A72" s="46"/>
      <c r="B72" s="47"/>
      <c r="C72" s="72"/>
      <c r="D72" s="72"/>
      <c r="E72" s="72"/>
      <c r="F72" s="72"/>
      <c r="G72" s="72"/>
      <c r="H72" s="72"/>
      <c r="I72" s="72"/>
      <c r="J72" s="72"/>
      <c r="K72" s="38" t="s">
        <v>40</v>
      </c>
      <c r="M72" s="46"/>
      <c r="N72" s="46"/>
      <c r="O72" s="46"/>
      <c r="P72" s="46"/>
      <c r="Q72" s="46"/>
      <c r="R72" s="46"/>
    </row>
    <row r="73" spans="1:18" ht="15.75" x14ac:dyDescent="0.25">
      <c r="A73" s="46"/>
      <c r="B73" s="163"/>
      <c r="C73" s="68"/>
      <c r="D73" s="68"/>
      <c r="E73" s="68"/>
      <c r="F73" s="69" t="s">
        <v>69</v>
      </c>
      <c r="G73" s="48">
        <v>2</v>
      </c>
      <c r="H73" s="48">
        <v>3</v>
      </c>
      <c r="I73" s="48">
        <v>4</v>
      </c>
      <c r="J73" s="48">
        <v>5</v>
      </c>
      <c r="K73" s="38" t="s">
        <v>40</v>
      </c>
      <c r="M73" s="46"/>
      <c r="N73" s="46"/>
      <c r="O73" s="46"/>
      <c r="P73" s="46"/>
      <c r="Q73" s="46"/>
      <c r="R73" s="46"/>
    </row>
    <row r="74" spans="1:18" x14ac:dyDescent="0.2">
      <c r="A74" s="46"/>
      <c r="B74" s="175" t="s">
        <v>77</v>
      </c>
      <c r="C74" s="50">
        <f>+D74-1</f>
        <v>2021</v>
      </c>
      <c r="D74" s="50">
        <f>+E74-1</f>
        <v>2022</v>
      </c>
      <c r="E74" s="50">
        <f>+F74-1</f>
        <v>2023</v>
      </c>
      <c r="F74" s="70">
        <f>+F$22</f>
        <v>2024</v>
      </c>
      <c r="G74" s="50">
        <f t="shared" ref="G74" si="35">1+F74</f>
        <v>2025</v>
      </c>
      <c r="H74" s="50">
        <f t="shared" ref="H74" si="36">1+G74</f>
        <v>2026</v>
      </c>
      <c r="I74" s="50">
        <f t="shared" ref="I74" si="37">1+H74</f>
        <v>2027</v>
      </c>
      <c r="J74" s="50">
        <f t="shared" ref="J74" si="38">1+I74</f>
        <v>2028</v>
      </c>
      <c r="K74" s="38" t="s">
        <v>40</v>
      </c>
      <c r="M74" s="46"/>
      <c r="N74" s="46"/>
      <c r="O74" s="46"/>
      <c r="P74" s="46"/>
      <c r="Q74" s="46"/>
      <c r="R74" s="46"/>
    </row>
    <row r="75" spans="1:18" x14ac:dyDescent="0.2">
      <c r="A75" s="46"/>
      <c r="B75" s="164" t="s">
        <v>78</v>
      </c>
      <c r="C75" s="169">
        <f>+C57*1.2</f>
        <v>140160</v>
      </c>
      <c r="D75" s="169">
        <f t="shared" ref="D75:E75" si="39">+D57*1.2</f>
        <v>148569.60000000001</v>
      </c>
      <c r="E75" s="169">
        <f t="shared" si="39"/>
        <v>157483.77600000001</v>
      </c>
      <c r="F75" s="169"/>
      <c r="G75" s="169"/>
      <c r="H75" s="169"/>
      <c r="I75" s="169"/>
      <c r="J75" s="169"/>
      <c r="K75" s="38" t="s">
        <v>40</v>
      </c>
      <c r="M75" s="46"/>
      <c r="N75" s="46"/>
      <c r="O75" s="46"/>
      <c r="P75" s="46"/>
      <c r="Q75" s="46"/>
      <c r="R75" s="46"/>
    </row>
    <row r="76" spans="1:18" x14ac:dyDescent="0.2">
      <c r="A76" s="46"/>
      <c r="B76" s="165" t="s">
        <v>79</v>
      </c>
      <c r="C76" s="170">
        <v>0</v>
      </c>
      <c r="D76" s="170">
        <v>0</v>
      </c>
      <c r="E76" s="170">
        <v>0</v>
      </c>
      <c r="F76" s="171"/>
      <c r="G76" s="171"/>
      <c r="H76" s="171"/>
      <c r="I76" s="171"/>
      <c r="J76" s="171"/>
      <c r="K76" s="38" t="s">
        <v>40</v>
      </c>
      <c r="M76" s="46"/>
      <c r="N76" s="46"/>
      <c r="O76" s="46"/>
      <c r="P76" s="46"/>
      <c r="Q76" s="46"/>
      <c r="R76" s="46"/>
    </row>
    <row r="77" spans="1:18" x14ac:dyDescent="0.2">
      <c r="A77" s="46"/>
      <c r="B77" s="165" t="s">
        <v>80</v>
      </c>
      <c r="C77" s="229">
        <f>+C75-C57</f>
        <v>23360</v>
      </c>
      <c r="D77" s="229">
        <f t="shared" ref="D77:E77" si="40">+D75-D57</f>
        <v>24761.600000000006</v>
      </c>
      <c r="E77" s="229">
        <f t="shared" si="40"/>
        <v>26247.296000000002</v>
      </c>
      <c r="F77" s="230"/>
      <c r="G77" s="230"/>
      <c r="H77" s="230"/>
      <c r="I77" s="230"/>
      <c r="J77" s="230"/>
      <c r="K77" s="38" t="s">
        <v>40</v>
      </c>
      <c r="M77" s="46"/>
      <c r="N77" s="46"/>
      <c r="O77" s="46"/>
      <c r="P77" s="46"/>
      <c r="Q77" s="46"/>
      <c r="R77" s="46"/>
    </row>
    <row r="78" spans="1:18" x14ac:dyDescent="0.2">
      <c r="A78" s="46"/>
      <c r="B78" s="166" t="s">
        <v>81</v>
      </c>
      <c r="C78" s="172">
        <v>0</v>
      </c>
      <c r="D78" s="172">
        <v>0</v>
      </c>
      <c r="E78" s="172">
        <v>0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38" t="s">
        <v>40</v>
      </c>
      <c r="M78" s="46"/>
      <c r="N78" s="46"/>
      <c r="O78" s="46"/>
      <c r="P78" s="46"/>
      <c r="Q78" s="46"/>
      <c r="R78" s="46"/>
    </row>
    <row r="79" spans="1:18" x14ac:dyDescent="0.2">
      <c r="A79" s="46"/>
      <c r="B79" s="67" t="s">
        <v>82</v>
      </c>
      <c r="C79" s="159">
        <f>+C75-C76-C77-C78</f>
        <v>116800</v>
      </c>
      <c r="D79" s="159">
        <f t="shared" ref="D79:J79" si="41">+D75-D76-D77-D78</f>
        <v>123808</v>
      </c>
      <c r="E79" s="159">
        <f t="shared" si="41"/>
        <v>131236.48000000001</v>
      </c>
      <c r="F79" s="159">
        <f t="shared" si="41"/>
        <v>0</v>
      </c>
      <c r="G79" s="159">
        <f t="shared" si="41"/>
        <v>0</v>
      </c>
      <c r="H79" s="159">
        <f t="shared" si="41"/>
        <v>0</v>
      </c>
      <c r="I79" s="159">
        <f t="shared" si="41"/>
        <v>0</v>
      </c>
      <c r="J79" s="159">
        <f t="shared" si="41"/>
        <v>0</v>
      </c>
      <c r="K79" s="38" t="s">
        <v>40</v>
      </c>
      <c r="M79" s="46"/>
      <c r="N79" s="46"/>
      <c r="O79" s="46"/>
      <c r="P79" s="46"/>
      <c r="Q79" s="46"/>
      <c r="R79" s="46"/>
    </row>
    <row r="80" spans="1:18" x14ac:dyDescent="0.2">
      <c r="A80" s="46"/>
      <c r="B80" s="67"/>
      <c r="C80" s="159"/>
      <c r="D80" s="159"/>
      <c r="E80" s="159"/>
      <c r="F80" s="159"/>
      <c r="G80" s="159"/>
      <c r="H80" s="159"/>
      <c r="I80" s="159"/>
      <c r="J80" s="159"/>
      <c r="K80" s="38" t="s">
        <v>40</v>
      </c>
      <c r="M80" s="46"/>
      <c r="N80" s="46"/>
      <c r="O80" s="46"/>
      <c r="P80" s="46"/>
      <c r="Q80" s="46"/>
      <c r="R80" s="46"/>
    </row>
    <row r="81" spans="1:18" x14ac:dyDescent="0.2">
      <c r="A81" s="46"/>
      <c r="B81" s="47"/>
      <c r="C81" s="68"/>
      <c r="D81" s="68"/>
      <c r="E81" s="68"/>
      <c r="F81" s="193" t="s">
        <v>64</v>
      </c>
      <c r="G81" s="194">
        <v>2</v>
      </c>
      <c r="H81" s="194">
        <v>3</v>
      </c>
      <c r="I81" s="194">
        <v>4</v>
      </c>
      <c r="J81" s="194">
        <v>5</v>
      </c>
      <c r="K81" s="38" t="s">
        <v>40</v>
      </c>
      <c r="M81" s="46"/>
      <c r="N81" s="46"/>
      <c r="O81" s="46"/>
      <c r="P81" s="46"/>
      <c r="Q81" s="46"/>
      <c r="R81" s="46"/>
    </row>
    <row r="82" spans="1:18" x14ac:dyDescent="0.2">
      <c r="A82" s="46"/>
      <c r="B82" s="49" t="s">
        <v>83</v>
      </c>
      <c r="C82" s="50">
        <f>+D82-1</f>
        <v>2021</v>
      </c>
      <c r="D82" s="50">
        <f>+E82-1</f>
        <v>2022</v>
      </c>
      <c r="E82" s="50">
        <f>+F82-1</f>
        <v>2023</v>
      </c>
      <c r="F82" s="70">
        <f>+F$22</f>
        <v>2024</v>
      </c>
      <c r="G82" s="50">
        <f t="shared" ref="G82" si="42">1+F82</f>
        <v>2025</v>
      </c>
      <c r="H82" s="50">
        <f t="shared" ref="H82" si="43">1+G82</f>
        <v>2026</v>
      </c>
      <c r="I82" s="50">
        <f t="shared" ref="I82" si="44">1+H82</f>
        <v>2027</v>
      </c>
      <c r="J82" s="50">
        <f t="shared" ref="J82" si="45">1+I82</f>
        <v>2028</v>
      </c>
      <c r="K82" s="38" t="s">
        <v>40</v>
      </c>
      <c r="M82" s="46"/>
      <c r="N82" s="46"/>
      <c r="O82" s="46"/>
      <c r="P82" s="46"/>
      <c r="Q82" s="46"/>
      <c r="R82" s="46"/>
    </row>
    <row r="83" spans="1:18" x14ac:dyDescent="0.2">
      <c r="A83" s="46"/>
      <c r="B83" s="47" t="s">
        <v>84</v>
      </c>
      <c r="C83" s="155">
        <f t="shared" ref="C83:J83" si="46">IFERROR(C57/C$50/12,0)</f>
        <v>1.9466666666666665</v>
      </c>
      <c r="D83" s="155">
        <f t="shared" si="46"/>
        <v>2.0634666666666668</v>
      </c>
      <c r="E83" s="155">
        <f t="shared" si="46"/>
        <v>2.1872746666666667</v>
      </c>
      <c r="F83" s="155">
        <f t="shared" si="46"/>
        <v>2.3185111466666668</v>
      </c>
      <c r="G83" s="155">
        <f t="shared" si="46"/>
        <v>2.4576218154666667</v>
      </c>
      <c r="H83" s="155">
        <f t="shared" si="46"/>
        <v>2.6050791243946669</v>
      </c>
      <c r="I83" s="155">
        <f t="shared" si="46"/>
        <v>2.7613838718583472</v>
      </c>
      <c r="J83" s="155">
        <f t="shared" si="46"/>
        <v>2.9270669041698483</v>
      </c>
      <c r="K83" s="38" t="s">
        <v>40</v>
      </c>
      <c r="M83" s="46"/>
      <c r="N83" s="46"/>
      <c r="O83" s="46"/>
      <c r="P83" s="46"/>
      <c r="Q83" s="46"/>
      <c r="R83" s="46"/>
    </row>
    <row r="84" spans="1:18" x14ac:dyDescent="0.2">
      <c r="A84" s="46"/>
      <c r="B84" s="47" t="s">
        <v>85</v>
      </c>
      <c r="C84" s="155">
        <f t="shared" ref="C84:E84" si="47">IFERROR(C58/C51/12,0)</f>
        <v>0</v>
      </c>
      <c r="D84" s="155">
        <f t="shared" si="47"/>
        <v>0</v>
      </c>
      <c r="E84" s="155">
        <f t="shared" si="47"/>
        <v>0</v>
      </c>
      <c r="F84" s="155">
        <f>IFERROR(F58/F51/12,0)</f>
        <v>1.2882352941176471</v>
      </c>
      <c r="G84" s="155">
        <f t="shared" ref="G84:J84" si="48">IFERROR(G58/G51/12,0)</f>
        <v>1.3268823529411764</v>
      </c>
      <c r="H84" s="155">
        <f t="shared" si="48"/>
        <v>1.3666888235294119</v>
      </c>
      <c r="I84" s="155">
        <f t="shared" si="48"/>
        <v>1.4076894882352942</v>
      </c>
      <c r="J84" s="155">
        <f t="shared" si="48"/>
        <v>1.4499201728823532</v>
      </c>
      <c r="K84" s="38" t="s">
        <v>40</v>
      </c>
      <c r="M84" s="46"/>
      <c r="N84" s="46"/>
      <c r="O84" s="46"/>
      <c r="P84" s="46"/>
      <c r="Q84" s="46"/>
      <c r="R84" s="46"/>
    </row>
    <row r="85" spans="1:18" x14ac:dyDescent="0.2">
      <c r="A85" s="46"/>
      <c r="B85" s="47" t="s">
        <v>86</v>
      </c>
      <c r="C85" s="155">
        <f>+C83*12</f>
        <v>23.36</v>
      </c>
      <c r="D85" s="155">
        <f t="shared" ref="D85:J85" si="49">+D83*12</f>
        <v>24.761600000000001</v>
      </c>
      <c r="E85" s="155">
        <f t="shared" si="49"/>
        <v>26.247295999999999</v>
      </c>
      <c r="F85" s="155">
        <f t="shared" si="49"/>
        <v>27.82213376</v>
      </c>
      <c r="G85" s="155">
        <f t="shared" si="49"/>
        <v>29.491461785600002</v>
      </c>
      <c r="H85" s="155">
        <f t="shared" si="49"/>
        <v>31.260949492736003</v>
      </c>
      <c r="I85" s="155">
        <f t="shared" si="49"/>
        <v>33.136606462300165</v>
      </c>
      <c r="J85" s="155">
        <f t="shared" si="49"/>
        <v>35.124802850038179</v>
      </c>
      <c r="K85" s="38" t="s">
        <v>40</v>
      </c>
      <c r="M85" s="46"/>
      <c r="N85" s="46"/>
      <c r="O85" s="46"/>
      <c r="P85" s="46"/>
      <c r="Q85" s="46"/>
      <c r="R85" s="46"/>
    </row>
    <row r="86" spans="1:18" x14ac:dyDescent="0.2">
      <c r="A86" s="46"/>
      <c r="B86" s="47" t="s">
        <v>87</v>
      </c>
      <c r="C86" s="155">
        <f t="shared" ref="C86:J86" si="50">+C84*12</f>
        <v>0</v>
      </c>
      <c r="D86" s="155">
        <f t="shared" si="50"/>
        <v>0</v>
      </c>
      <c r="E86" s="155">
        <f t="shared" si="50"/>
        <v>0</v>
      </c>
      <c r="F86" s="155">
        <f t="shared" si="50"/>
        <v>15.458823529411767</v>
      </c>
      <c r="G86" s="155">
        <f t="shared" si="50"/>
        <v>15.922588235294118</v>
      </c>
      <c r="H86" s="155">
        <f t="shared" si="50"/>
        <v>16.400265882352944</v>
      </c>
      <c r="I86" s="155">
        <f t="shared" si="50"/>
        <v>16.892273858823529</v>
      </c>
      <c r="J86" s="155">
        <f t="shared" si="50"/>
        <v>17.399042074588237</v>
      </c>
      <c r="K86" s="38" t="s">
        <v>40</v>
      </c>
      <c r="M86" s="46"/>
      <c r="N86" s="46"/>
      <c r="O86" s="46"/>
      <c r="P86" s="46"/>
      <c r="Q86" s="46"/>
      <c r="R86" s="46"/>
    </row>
    <row r="87" spans="1:18" x14ac:dyDescent="0.2">
      <c r="A87" s="46"/>
      <c r="B87" s="47"/>
      <c r="C87" s="155"/>
      <c r="D87" s="155"/>
      <c r="E87" s="155"/>
      <c r="F87" s="155"/>
      <c r="G87" s="155"/>
      <c r="H87" s="155"/>
      <c r="I87" s="155"/>
      <c r="J87" s="155"/>
      <c r="K87" s="38" t="s">
        <v>40</v>
      </c>
      <c r="M87" s="46"/>
      <c r="N87" s="46"/>
      <c r="O87" s="46"/>
      <c r="P87" s="46"/>
      <c r="Q87" s="46"/>
      <c r="R87" s="46"/>
    </row>
    <row r="88" spans="1:18" x14ac:dyDescent="0.2">
      <c r="A88" s="46"/>
      <c r="B88" s="56" t="s">
        <v>88</v>
      </c>
      <c r="C88" s="161">
        <f t="shared" ref="C88:J89" si="51">IFERROR(C57/C$33,0)</f>
        <v>0.16</v>
      </c>
      <c r="D88" s="161">
        <f t="shared" si="51"/>
        <v>0.1696</v>
      </c>
      <c r="E88" s="161">
        <f t="shared" si="51"/>
        <v>0.17977600000000002</v>
      </c>
      <c r="F88" s="161">
        <f t="shared" si="51"/>
        <v>0.12704170666666667</v>
      </c>
      <c r="G88" s="161">
        <f t="shared" si="51"/>
        <v>0.13466420906666668</v>
      </c>
      <c r="H88" s="161">
        <f t="shared" si="51"/>
        <v>0.14274406161066669</v>
      </c>
      <c r="I88" s="161">
        <f t="shared" si="51"/>
        <v>0.1513087053073067</v>
      </c>
      <c r="J88" s="161">
        <f t="shared" si="51"/>
        <v>0.16038722762574512</v>
      </c>
      <c r="K88" s="38" t="s">
        <v>40</v>
      </c>
      <c r="M88" s="46"/>
      <c r="N88" s="46"/>
      <c r="O88" s="46"/>
      <c r="P88" s="46"/>
      <c r="Q88" s="46"/>
      <c r="R88" s="46"/>
    </row>
    <row r="89" spans="1:18" x14ac:dyDescent="0.2">
      <c r="A89" s="46"/>
      <c r="B89" s="47" t="s">
        <v>89</v>
      </c>
      <c r="C89" s="162">
        <f t="shared" si="51"/>
        <v>0</v>
      </c>
      <c r="D89" s="162">
        <f t="shared" si="51"/>
        <v>0</v>
      </c>
      <c r="E89" s="162">
        <f t="shared" si="51"/>
        <v>0</v>
      </c>
      <c r="F89" s="162">
        <f t="shared" si="51"/>
        <v>0.12</v>
      </c>
      <c r="G89" s="162">
        <f t="shared" si="51"/>
        <v>0.1236</v>
      </c>
      <c r="H89" s="162">
        <f t="shared" si="51"/>
        <v>0.127308</v>
      </c>
      <c r="I89" s="162">
        <f t="shared" si="51"/>
        <v>0.13112724000000001</v>
      </c>
      <c r="J89" s="162">
        <f t="shared" si="51"/>
        <v>0.1350610572</v>
      </c>
      <c r="K89" s="38" t="s">
        <v>40</v>
      </c>
      <c r="M89" s="46"/>
      <c r="N89" s="46"/>
      <c r="O89" s="46"/>
      <c r="P89" s="46"/>
      <c r="Q89" s="46"/>
      <c r="R89" s="46"/>
    </row>
    <row r="90" spans="1:18" x14ac:dyDescent="0.2">
      <c r="A90" s="46"/>
      <c r="B90" s="67"/>
      <c r="C90" s="158"/>
      <c r="D90" s="158"/>
      <c r="E90" s="158"/>
      <c r="F90" s="158"/>
      <c r="G90" s="158"/>
      <c r="H90" s="158"/>
      <c r="I90" s="158"/>
      <c r="J90" s="158"/>
      <c r="K90" s="38" t="s">
        <v>40</v>
      </c>
      <c r="M90" s="46"/>
      <c r="N90" s="46"/>
      <c r="O90" s="46"/>
      <c r="P90" s="46"/>
      <c r="Q90" s="46"/>
      <c r="R90" s="46"/>
    </row>
    <row r="91" spans="1:18" x14ac:dyDescent="0.2">
      <c r="A91" s="46"/>
      <c r="B91" s="56" t="s">
        <v>90</v>
      </c>
      <c r="C91" s="160">
        <f>IFERROR(C57/#REF!-1,0)</f>
        <v>0</v>
      </c>
      <c r="D91" s="160">
        <f t="shared" ref="D91:J92" si="52">IFERROR(D57/C57-1,0)</f>
        <v>6.0000000000000053E-2</v>
      </c>
      <c r="E91" s="160">
        <f t="shared" si="52"/>
        <v>6.0000000000000053E-2</v>
      </c>
      <c r="F91" s="160">
        <f t="shared" si="52"/>
        <v>6.0000000000000053E-2</v>
      </c>
      <c r="G91" s="160">
        <f t="shared" si="52"/>
        <v>6.0000000000000053E-2</v>
      </c>
      <c r="H91" s="160">
        <f t="shared" si="52"/>
        <v>6.0000000000000053E-2</v>
      </c>
      <c r="I91" s="160">
        <f t="shared" si="52"/>
        <v>6.0000000000000053E-2</v>
      </c>
      <c r="J91" s="160">
        <f t="shared" si="52"/>
        <v>6.0000000000000053E-2</v>
      </c>
      <c r="K91" s="38" t="s">
        <v>40</v>
      </c>
      <c r="M91" s="46"/>
      <c r="N91" s="46"/>
      <c r="O91" s="46"/>
      <c r="P91" s="46"/>
      <c r="Q91" s="46"/>
      <c r="R91" s="46"/>
    </row>
    <row r="92" spans="1:18" x14ac:dyDescent="0.2">
      <c r="A92" s="46"/>
      <c r="B92" s="47" t="s">
        <v>30</v>
      </c>
      <c r="C92" s="73">
        <f>IFERROR(C58/#REF!-1,0)</f>
        <v>0</v>
      </c>
      <c r="D92" s="73">
        <f t="shared" si="52"/>
        <v>0</v>
      </c>
      <c r="E92" s="73">
        <f t="shared" si="52"/>
        <v>0</v>
      </c>
      <c r="F92" s="73">
        <f t="shared" si="52"/>
        <v>0</v>
      </c>
      <c r="G92" s="73">
        <f t="shared" si="52"/>
        <v>3.0000000000000027E-2</v>
      </c>
      <c r="H92" s="73">
        <f t="shared" si="52"/>
        <v>3.0000000000000027E-2</v>
      </c>
      <c r="I92" s="73">
        <f t="shared" si="52"/>
        <v>3.0000000000000027E-2</v>
      </c>
      <c r="J92" s="73">
        <f t="shared" si="52"/>
        <v>3.0000000000000027E-2</v>
      </c>
      <c r="K92" s="38" t="s">
        <v>40</v>
      </c>
      <c r="M92" s="46"/>
      <c r="N92" s="46"/>
      <c r="O92" s="46"/>
      <c r="P92" s="46"/>
      <c r="Q92" s="46"/>
      <c r="R92" s="46"/>
    </row>
    <row r="93" spans="1:18" x14ac:dyDescent="0.2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38" t="s">
        <v>40</v>
      </c>
      <c r="M93" s="46"/>
      <c r="N93" s="46"/>
      <c r="O93" s="46"/>
      <c r="P93" s="46"/>
      <c r="Q93" s="46"/>
      <c r="R93" s="46"/>
    </row>
    <row r="94" spans="1:18" x14ac:dyDescent="0.2">
      <c r="A94" s="46"/>
      <c r="B94" s="47" t="s">
        <v>91</v>
      </c>
      <c r="C94" s="226">
        <f>IF(C25&gt;0,C50/C25,C51/C26)</f>
        <v>45.454545454545453</v>
      </c>
      <c r="D94" s="226">
        <f t="shared" ref="D94:J94" si="53">IF(D25&gt;0,D50/D25,D51/D26)</f>
        <v>45.454545454545453</v>
      </c>
      <c r="E94" s="226">
        <f t="shared" si="53"/>
        <v>45.454545454545453</v>
      </c>
      <c r="F94" s="226">
        <f t="shared" si="53"/>
        <v>56.666666666666664</v>
      </c>
      <c r="G94" s="226">
        <f t="shared" si="53"/>
        <v>56.666666666666664</v>
      </c>
      <c r="H94" s="226">
        <f t="shared" si="53"/>
        <v>56.666666666666664</v>
      </c>
      <c r="I94" s="226">
        <f t="shared" si="53"/>
        <v>56.666666666666664</v>
      </c>
      <c r="J94" s="226">
        <f t="shared" si="53"/>
        <v>56.666666666666664</v>
      </c>
      <c r="K94" s="38" t="s">
        <v>40</v>
      </c>
      <c r="M94" s="46"/>
      <c r="N94" s="46"/>
      <c r="O94" s="46"/>
      <c r="P94" s="46"/>
      <c r="Q94" s="46"/>
      <c r="R94" s="46"/>
    </row>
    <row r="95" spans="1:18" x14ac:dyDescent="0.2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38" t="s">
        <v>40</v>
      </c>
      <c r="M95" s="46"/>
      <c r="N95" s="46"/>
      <c r="O95" s="46"/>
      <c r="P95" s="46"/>
      <c r="Q95" s="46"/>
      <c r="R95" s="46"/>
    </row>
    <row r="96" spans="1:18" x14ac:dyDescent="0.2">
      <c r="A96" s="46"/>
      <c r="B96" s="228" t="s">
        <v>92</v>
      </c>
      <c r="C96" s="73"/>
      <c r="D96" s="73"/>
      <c r="E96" s="73"/>
      <c r="F96" s="73"/>
      <c r="G96" s="73"/>
      <c r="H96" s="73"/>
      <c r="I96" s="73"/>
      <c r="J96" s="73"/>
      <c r="K96" s="38" t="s">
        <v>40</v>
      </c>
      <c r="M96" s="46"/>
      <c r="N96" s="46"/>
      <c r="O96" s="46"/>
      <c r="P96" s="46"/>
      <c r="Q96" s="46"/>
      <c r="R96" s="46"/>
    </row>
    <row r="97" spans="1:18" x14ac:dyDescent="0.2">
      <c r="A97" s="46"/>
      <c r="B97" s="228" t="s">
        <v>93</v>
      </c>
      <c r="C97" s="73"/>
      <c r="D97" s="73"/>
      <c r="E97" s="73"/>
      <c r="F97" s="73"/>
      <c r="G97" s="73"/>
      <c r="H97" s="73"/>
      <c r="I97" s="73"/>
      <c r="J97" s="73"/>
      <c r="K97" s="38" t="s">
        <v>40</v>
      </c>
      <c r="M97" s="46"/>
      <c r="N97" s="46"/>
      <c r="O97" s="46"/>
      <c r="P97" s="46"/>
      <c r="Q97" s="46"/>
      <c r="R97" s="46"/>
    </row>
    <row r="98" spans="1:18" x14ac:dyDescent="0.2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38" t="s">
        <v>40</v>
      </c>
      <c r="M98" s="46"/>
      <c r="N98" s="46"/>
      <c r="O98" s="46"/>
      <c r="P98" s="46"/>
      <c r="Q98" s="46"/>
      <c r="R98" s="46"/>
    </row>
    <row r="99" spans="1:18" x14ac:dyDescent="0.2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2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2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2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2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2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2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2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2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2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2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2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2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2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2">
      <c r="A113" s="46"/>
      <c r="B113" s="47"/>
      <c r="C113" s="73"/>
      <c r="D113" s="73"/>
      <c r="E113" s="73"/>
      <c r="F113" s="73"/>
      <c r="G113" s="73"/>
      <c r="H113" s="73"/>
      <c r="I113" s="73"/>
      <c r="J113" s="73"/>
      <c r="K113" s="42"/>
      <c r="M113" s="46"/>
      <c r="N113" s="46"/>
      <c r="O113" s="46"/>
      <c r="P113" s="46"/>
      <c r="Q113" s="46"/>
      <c r="R113" s="46"/>
    </row>
    <row r="114" spans="1:18" x14ac:dyDescent="0.2">
      <c r="A114" s="46"/>
      <c r="B114" s="47"/>
      <c r="C114" s="73"/>
      <c r="D114" s="73"/>
      <c r="E114" s="73"/>
      <c r="F114" s="73"/>
      <c r="G114" s="73"/>
      <c r="H114" s="73"/>
      <c r="I114" s="73"/>
      <c r="J114" s="73"/>
      <c r="K114" s="42"/>
      <c r="M114" s="46"/>
      <c r="N114" s="46"/>
      <c r="O114" s="46"/>
      <c r="P114" s="46"/>
      <c r="Q114" s="46"/>
      <c r="R114" s="46"/>
    </row>
    <row r="115" spans="1:18" x14ac:dyDescent="0.2">
      <c r="A115" s="46"/>
      <c r="B115" s="47"/>
      <c r="C115" s="73"/>
      <c r="D115" s="73"/>
      <c r="E115" s="73"/>
      <c r="F115" s="73"/>
      <c r="G115" s="73"/>
      <c r="H115" s="73"/>
      <c r="I115" s="73"/>
      <c r="J115" s="73"/>
      <c r="K115" s="42"/>
      <c r="M115" s="46"/>
      <c r="N115" s="46"/>
      <c r="O115" s="46"/>
      <c r="P115" s="46"/>
      <c r="Q115" s="46"/>
      <c r="R115" s="46"/>
    </row>
    <row r="116" spans="1:18" x14ac:dyDescent="0.2">
      <c r="A116" s="46"/>
      <c r="B116" s="47"/>
      <c r="C116" s="73"/>
      <c r="D116" s="73"/>
      <c r="E116" s="73"/>
      <c r="F116" s="73"/>
      <c r="G116" s="73"/>
      <c r="H116" s="73"/>
      <c r="I116" s="73"/>
      <c r="J116" s="73"/>
      <c r="K116" s="42"/>
      <c r="M116" s="46"/>
      <c r="N116" s="46"/>
      <c r="O116" s="46"/>
      <c r="P116" s="46"/>
      <c r="Q116" s="46"/>
      <c r="R116" s="46"/>
    </row>
    <row r="117" spans="1:18" x14ac:dyDescent="0.2">
      <c r="A117" s="46"/>
      <c r="B117" s="47"/>
      <c r="C117" s="73"/>
      <c r="D117" s="73"/>
      <c r="E117" s="73"/>
      <c r="F117" s="73"/>
      <c r="G117" s="73"/>
      <c r="H117" s="73"/>
      <c r="I117" s="73"/>
      <c r="J117" s="73"/>
      <c r="K117" s="42"/>
      <c r="M117" s="46"/>
      <c r="N117" s="46"/>
      <c r="O117" s="46"/>
      <c r="P117" s="46"/>
      <c r="Q117" s="46"/>
      <c r="R117" s="46"/>
    </row>
    <row r="118" spans="1:18" x14ac:dyDescent="0.2">
      <c r="A118" s="46"/>
      <c r="B118" s="47"/>
      <c r="C118" s="73"/>
      <c r="D118" s="73"/>
      <c r="E118" s="73"/>
      <c r="F118" s="73"/>
      <c r="G118" s="73"/>
      <c r="H118" s="73"/>
      <c r="I118" s="73"/>
      <c r="J118" s="73"/>
      <c r="K118" s="42"/>
      <c r="M118" s="46"/>
      <c r="N118" s="46"/>
      <c r="O118" s="46"/>
      <c r="P118" s="46"/>
      <c r="Q118" s="46"/>
      <c r="R118" s="46"/>
    </row>
    <row r="119" spans="1:18" x14ac:dyDescent="0.2">
      <c r="A119" s="46"/>
      <c r="B119" s="47"/>
      <c r="C119" s="73"/>
      <c r="D119" s="73"/>
      <c r="E119" s="73"/>
      <c r="F119" s="73"/>
      <c r="G119" s="73"/>
      <c r="H119" s="73"/>
      <c r="I119" s="73"/>
      <c r="J119" s="73"/>
      <c r="K119" s="42"/>
      <c r="M119" s="46"/>
      <c r="N119" s="46"/>
      <c r="O119" s="46"/>
      <c r="P119" s="46"/>
      <c r="Q119" s="46"/>
      <c r="R119" s="46"/>
    </row>
    <row r="120" spans="1:18" x14ac:dyDescent="0.2">
      <c r="A120" s="46"/>
      <c r="B120" s="47"/>
      <c r="C120" s="73"/>
      <c r="D120" s="73"/>
      <c r="E120" s="73"/>
      <c r="F120" s="73"/>
      <c r="G120" s="73"/>
      <c r="H120" s="73"/>
      <c r="I120" s="73"/>
      <c r="J120" s="73"/>
      <c r="K120" s="42"/>
      <c r="M120" s="46"/>
      <c r="N120" s="46"/>
      <c r="O120" s="46"/>
      <c r="P120" s="46"/>
      <c r="Q120" s="46"/>
      <c r="R120" s="46"/>
    </row>
    <row r="121" spans="1:18" x14ac:dyDescent="0.2">
      <c r="A121" s="46"/>
      <c r="B121" s="47"/>
      <c r="C121" s="73"/>
      <c r="D121" s="73"/>
      <c r="E121" s="73"/>
      <c r="F121" s="73"/>
      <c r="G121" s="73"/>
      <c r="H121" s="73"/>
      <c r="I121" s="73"/>
      <c r="J121" s="73"/>
      <c r="K121" s="42"/>
      <c r="M121" s="46"/>
      <c r="N121" s="46"/>
      <c r="O121" s="46"/>
      <c r="P121" s="46"/>
      <c r="Q121" s="46"/>
      <c r="R121" s="46"/>
    </row>
    <row r="122" spans="1:18" x14ac:dyDescent="0.2">
      <c r="A122" s="46"/>
      <c r="B122" s="47"/>
      <c r="C122" s="73"/>
      <c r="D122" s="73"/>
      <c r="E122" s="73"/>
      <c r="F122" s="73"/>
      <c r="G122" s="73"/>
      <c r="H122" s="73"/>
      <c r="I122" s="73"/>
      <c r="J122" s="73"/>
      <c r="K122" s="42"/>
      <c r="M122" s="46"/>
      <c r="N122" s="46"/>
      <c r="O122" s="46"/>
      <c r="P122" s="46"/>
      <c r="Q122" s="46"/>
      <c r="R122" s="46"/>
    </row>
    <row r="123" spans="1:18" x14ac:dyDescent="0.2">
      <c r="A123" s="46"/>
      <c r="B123" s="47"/>
      <c r="C123" s="47"/>
      <c r="D123" s="47"/>
      <c r="E123" s="47"/>
      <c r="F123" s="47"/>
      <c r="G123" s="47"/>
      <c r="H123" s="47"/>
      <c r="I123" s="47"/>
      <c r="J123" s="47"/>
      <c r="K123" s="42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9" t="s">
        <v>24</v>
      </c>
      <c r="C124" s="50"/>
      <c r="D124" s="50"/>
      <c r="E124" s="50"/>
      <c r="F124" s="50"/>
      <c r="G124" s="50"/>
      <c r="H124" s="50"/>
      <c r="I124" s="50"/>
      <c r="J124" s="50"/>
      <c r="K124" s="42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75" t="str">
        <f>+B51</f>
        <v>Proposed facility to acquire</v>
      </c>
      <c r="C125" s="53">
        <v>0</v>
      </c>
      <c r="D125" s="53">
        <v>0</v>
      </c>
      <c r="E125" s="53">
        <v>0</v>
      </c>
      <c r="F125" s="52">
        <v>300000</v>
      </c>
      <c r="G125" s="52">
        <v>310000</v>
      </c>
      <c r="H125" s="52">
        <v>320000</v>
      </c>
      <c r="I125" s="52">
        <v>330000</v>
      </c>
      <c r="J125" s="52">
        <v>340000</v>
      </c>
      <c r="K125" s="42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76"/>
      <c r="C126" s="77">
        <v>0</v>
      </c>
      <c r="D126" s="77">
        <v>0</v>
      </c>
      <c r="E126" s="77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42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76"/>
      <c r="C127" s="77">
        <v>0</v>
      </c>
      <c r="D127" s="77">
        <v>0</v>
      </c>
      <c r="E127" s="77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42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76"/>
      <c r="C128" s="77">
        <v>0</v>
      </c>
      <c r="D128" s="77">
        <v>0</v>
      </c>
      <c r="E128" s="77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42"/>
      <c r="M128" s="46"/>
      <c r="N128" s="46"/>
      <c r="O128" s="46"/>
      <c r="P128" s="46"/>
      <c r="Q128" s="46"/>
      <c r="R128" s="46"/>
    </row>
    <row r="129" spans="1:18" hidden="1" x14ac:dyDescent="0.2">
      <c r="A129" s="46"/>
      <c r="B129" s="78">
        <f>+B59</f>
        <v>0</v>
      </c>
      <c r="C129" s="80">
        <v>0</v>
      </c>
      <c r="D129" s="80">
        <v>0</v>
      </c>
      <c r="E129" s="80">
        <v>0</v>
      </c>
      <c r="F129" s="79"/>
      <c r="G129" s="79"/>
      <c r="H129" s="79"/>
      <c r="I129" s="79"/>
      <c r="J129" s="79"/>
      <c r="K129" s="42"/>
      <c r="M129" s="46"/>
      <c r="N129" s="46"/>
      <c r="O129" s="46"/>
      <c r="P129" s="46"/>
      <c r="Q129" s="46"/>
      <c r="R129" s="46"/>
    </row>
    <row r="130" spans="1:18" hidden="1" x14ac:dyDescent="0.2">
      <c r="A130" s="46"/>
      <c r="B130" s="47" t="s">
        <v>25</v>
      </c>
      <c r="C130" s="72">
        <f t="shared" ref="C130:J130" si="54">SUM(C125:C129)</f>
        <v>0</v>
      </c>
      <c r="D130" s="72">
        <f t="shared" si="54"/>
        <v>0</v>
      </c>
      <c r="E130" s="72">
        <f t="shared" si="54"/>
        <v>0</v>
      </c>
      <c r="F130" s="72">
        <f t="shared" si="54"/>
        <v>300000</v>
      </c>
      <c r="G130" s="72">
        <f t="shared" si="54"/>
        <v>310000</v>
      </c>
      <c r="H130" s="72">
        <f t="shared" si="54"/>
        <v>320000</v>
      </c>
      <c r="I130" s="72">
        <f t="shared" si="54"/>
        <v>330000</v>
      </c>
      <c r="J130" s="72">
        <f t="shared" si="54"/>
        <v>340000</v>
      </c>
      <c r="K130" s="42"/>
      <c r="M130" s="46"/>
      <c r="N130" s="46"/>
      <c r="O130" s="46"/>
      <c r="P130" s="46"/>
      <c r="Q130" s="46"/>
      <c r="R130" s="46"/>
    </row>
    <row r="131" spans="1:18" hidden="1" x14ac:dyDescent="0.2">
      <c r="A131" s="46"/>
      <c r="B131" s="47" t="s">
        <v>26</v>
      </c>
      <c r="C131" s="155">
        <f t="shared" ref="C131:J131" si="55">IF(C51&gt;0,C130/C51/12,0)</f>
        <v>0</v>
      </c>
      <c r="D131" s="155">
        <f t="shared" si="55"/>
        <v>0</v>
      </c>
      <c r="E131" s="155">
        <f t="shared" si="55"/>
        <v>0</v>
      </c>
      <c r="F131" s="155">
        <f t="shared" si="55"/>
        <v>2.9411764705882355</v>
      </c>
      <c r="G131" s="155">
        <f t="shared" si="55"/>
        <v>3.0392156862745097</v>
      </c>
      <c r="H131" s="155">
        <f t="shared" si="55"/>
        <v>3.1372549019607843</v>
      </c>
      <c r="I131" s="155">
        <f t="shared" si="55"/>
        <v>3.2352941176470584</v>
      </c>
      <c r="J131" s="155">
        <f t="shared" si="55"/>
        <v>3.3333333333333335</v>
      </c>
      <c r="K131" s="42"/>
      <c r="M131" s="46"/>
      <c r="N131" s="46"/>
      <c r="O131" s="46"/>
      <c r="P131" s="46"/>
      <c r="Q131" s="46"/>
      <c r="R131" s="46"/>
    </row>
    <row r="132" spans="1:18" hidden="1" x14ac:dyDescent="0.2">
      <c r="A132" s="46"/>
      <c r="B132" s="47"/>
      <c r="C132" s="72"/>
      <c r="D132" s="72"/>
      <c r="E132" s="72"/>
      <c r="F132" s="72"/>
      <c r="G132" s="72"/>
      <c r="H132" s="72"/>
      <c r="I132" s="72"/>
      <c r="J132" s="72"/>
      <c r="K132" s="42"/>
      <c r="M132" s="46"/>
      <c r="N132" s="46"/>
      <c r="O132" s="46"/>
      <c r="P132" s="46"/>
      <c r="Q132" s="46"/>
      <c r="R132" s="46"/>
    </row>
    <row r="133" spans="1:18" hidden="1" x14ac:dyDescent="0.2">
      <c r="A133" s="46"/>
      <c r="B133" s="49" t="s">
        <v>27</v>
      </c>
      <c r="C133" s="50"/>
      <c r="D133" s="50"/>
      <c r="E133" s="50"/>
      <c r="F133" s="50"/>
      <c r="G133" s="50"/>
      <c r="H133" s="50"/>
      <c r="I133" s="50"/>
      <c r="J133" s="50"/>
      <c r="K133" s="42"/>
      <c r="M133" s="46"/>
      <c r="N133" s="46"/>
      <c r="O133" s="46"/>
      <c r="P133" s="46"/>
      <c r="Q133" s="46"/>
      <c r="R133" s="46"/>
    </row>
    <row r="134" spans="1:18" hidden="1" x14ac:dyDescent="0.2">
      <c r="A134" s="46"/>
      <c r="B134" s="81" t="s">
        <v>28</v>
      </c>
      <c r="C134" s="146" t="e">
        <f>+#REF!*C33</f>
        <v>#REF!</v>
      </c>
      <c r="D134" s="146" t="e">
        <f>+#REF!*D33</f>
        <v>#REF!</v>
      </c>
      <c r="E134" s="146" t="e">
        <f>+#REF!*E33</f>
        <v>#REF!</v>
      </c>
      <c r="F134" s="146" t="e">
        <f>+#REF!*F33</f>
        <v>#REF!</v>
      </c>
      <c r="G134" s="146" t="e">
        <f>+#REF!*G33</f>
        <v>#REF!</v>
      </c>
      <c r="H134" s="146" t="e">
        <f>+#REF!*H33</f>
        <v>#REF!</v>
      </c>
      <c r="I134" s="146" t="e">
        <f>+#REF!*I33</f>
        <v>#REF!</v>
      </c>
      <c r="J134" s="146" t="e">
        <f>+#REF!*J33</f>
        <v>#REF!</v>
      </c>
      <c r="K134" s="42"/>
      <c r="M134" s="46"/>
      <c r="N134" s="46"/>
      <c r="O134" s="46"/>
      <c r="P134" s="46"/>
      <c r="Q134" s="46"/>
      <c r="R134" s="46"/>
    </row>
    <row r="135" spans="1:18" hidden="1" x14ac:dyDescent="0.2">
      <c r="B135" s="67" t="s">
        <v>29</v>
      </c>
      <c r="C135" s="67"/>
      <c r="D135" s="67"/>
      <c r="E135" s="154">
        <f t="shared" ref="E135:J135" si="56">IFERROR(E130/E33,0)</f>
        <v>0</v>
      </c>
      <c r="F135" s="154">
        <f t="shared" si="56"/>
        <v>0.27397260273972601</v>
      </c>
      <c r="G135" s="154">
        <f t="shared" si="56"/>
        <v>0.28310502283105021</v>
      </c>
      <c r="H135" s="154">
        <f t="shared" si="56"/>
        <v>0.29223744292237441</v>
      </c>
      <c r="I135" s="154">
        <f t="shared" si="56"/>
        <v>0.30136986301369861</v>
      </c>
      <c r="J135" s="154">
        <f t="shared" si="56"/>
        <v>0.31050228310502281</v>
      </c>
      <c r="K135" s="42"/>
      <c r="M135" s="46"/>
      <c r="N135" s="46"/>
      <c r="O135" s="46"/>
      <c r="P135" s="46"/>
      <c r="Q135" s="46"/>
      <c r="R135" s="46"/>
    </row>
    <row r="136" spans="1:18" hidden="1" x14ac:dyDescent="0.2">
      <c r="A136" s="46"/>
      <c r="B136" s="47" t="s">
        <v>30</v>
      </c>
      <c r="C136" s="73"/>
      <c r="D136" s="73">
        <f t="shared" ref="D136:J136" si="57">IFERROR(D130/C130-1,0)</f>
        <v>0</v>
      </c>
      <c r="E136" s="73">
        <f t="shared" si="57"/>
        <v>0</v>
      </c>
      <c r="F136" s="73">
        <f t="shared" si="57"/>
        <v>0</v>
      </c>
      <c r="G136" s="73">
        <f t="shared" si="57"/>
        <v>3.3333333333333437E-2</v>
      </c>
      <c r="H136" s="73">
        <f t="shared" si="57"/>
        <v>3.2258064516129004E-2</v>
      </c>
      <c r="I136" s="73">
        <f t="shared" si="57"/>
        <v>3.125E-2</v>
      </c>
      <c r="J136" s="73">
        <f t="shared" si="57"/>
        <v>3.0303030303030276E-2</v>
      </c>
      <c r="K136" s="42"/>
      <c r="M136" s="46"/>
      <c r="N136" s="46"/>
      <c r="O136" s="46"/>
      <c r="P136" s="46"/>
      <c r="Q136" s="46"/>
      <c r="R136" s="46"/>
    </row>
    <row r="137" spans="1:18" hidden="1" x14ac:dyDescent="0.2">
      <c r="A137" s="46"/>
      <c r="K137" s="42"/>
      <c r="M137" s="46"/>
      <c r="N137" s="46"/>
      <c r="O137" s="46"/>
      <c r="P137" s="46"/>
      <c r="Q137" s="46"/>
      <c r="R137" s="46"/>
    </row>
    <row r="138" spans="1:18" hidden="1" x14ac:dyDescent="0.2">
      <c r="A138" s="46"/>
      <c r="B138" s="47" t="str">
        <f>+B60</f>
        <v>Savings (Cost increase)/yr</v>
      </c>
      <c r="C138" s="72">
        <f t="shared" ref="C138:J138" si="58">+C60</f>
        <v>0</v>
      </c>
      <c r="D138" s="72">
        <f t="shared" si="58"/>
        <v>0</v>
      </c>
      <c r="E138" s="72">
        <f t="shared" si="58"/>
        <v>0</v>
      </c>
      <c r="F138" s="72">
        <f t="shared" si="58"/>
        <v>7710.668800000014</v>
      </c>
      <c r="G138" s="72">
        <f t="shared" si="58"/>
        <v>12115.308928000013</v>
      </c>
      <c r="H138" s="72">
        <f t="shared" si="58"/>
        <v>16902.487463680009</v>
      </c>
      <c r="I138" s="72">
        <f t="shared" si="58"/>
        <v>22098.704511500837</v>
      </c>
      <c r="J138" s="72">
        <f t="shared" si="58"/>
        <v>27732.156616190885</v>
      </c>
      <c r="K138" s="42"/>
      <c r="M138" s="46"/>
      <c r="N138" s="46"/>
      <c r="O138" s="46"/>
      <c r="P138" s="46"/>
      <c r="Q138" s="46"/>
      <c r="R138" s="46"/>
    </row>
    <row r="139" spans="1:18" hidden="1" x14ac:dyDescent="0.2">
      <c r="A139" s="46"/>
      <c r="B139" s="47" t="str">
        <f>+B130</f>
        <v>Total Acquisition Payments</v>
      </c>
      <c r="C139" s="47">
        <f t="shared" ref="C139:J139" si="59">+C130</f>
        <v>0</v>
      </c>
      <c r="D139" s="47">
        <f t="shared" si="59"/>
        <v>0</v>
      </c>
      <c r="E139" s="47">
        <f t="shared" si="59"/>
        <v>0</v>
      </c>
      <c r="F139" s="47">
        <f t="shared" si="59"/>
        <v>300000</v>
      </c>
      <c r="G139" s="47">
        <f t="shared" si="59"/>
        <v>310000</v>
      </c>
      <c r="H139" s="47">
        <f t="shared" si="59"/>
        <v>320000</v>
      </c>
      <c r="I139" s="47">
        <f t="shared" si="59"/>
        <v>330000</v>
      </c>
      <c r="J139" s="47">
        <f t="shared" si="59"/>
        <v>340000</v>
      </c>
      <c r="K139" s="42"/>
      <c r="M139" s="46"/>
      <c r="N139" s="46"/>
      <c r="O139" s="46"/>
      <c r="P139" s="46"/>
      <c r="Q139" s="46"/>
      <c r="R139" s="46"/>
    </row>
    <row r="140" spans="1:18" hidden="1" x14ac:dyDescent="0.2">
      <c r="A140" s="46"/>
      <c r="B140" s="56" t="s">
        <v>31</v>
      </c>
      <c r="C140" s="153">
        <f>IF(C139&gt;0,C138-C139,0)</f>
        <v>0</v>
      </c>
      <c r="D140" s="153">
        <f t="shared" ref="D140:J140" si="60">IF(D139&gt;0,D138-D139,0)</f>
        <v>0</v>
      </c>
      <c r="E140" s="153">
        <f t="shared" si="60"/>
        <v>0</v>
      </c>
      <c r="F140" s="153">
        <f t="shared" si="60"/>
        <v>-292289.33120000002</v>
      </c>
      <c r="G140" s="153">
        <f t="shared" si="60"/>
        <v>-297884.69107199996</v>
      </c>
      <c r="H140" s="153">
        <f t="shared" si="60"/>
        <v>-303097.51253632002</v>
      </c>
      <c r="I140" s="153">
        <f t="shared" si="60"/>
        <v>-307901.29548849916</v>
      </c>
      <c r="J140" s="153">
        <f t="shared" si="60"/>
        <v>-312267.84338380909</v>
      </c>
      <c r="K140" s="42"/>
      <c r="M140" s="46"/>
      <c r="N140" s="46"/>
      <c r="O140" s="46"/>
      <c r="P140" s="46"/>
      <c r="Q140" s="46"/>
      <c r="R140" s="46"/>
    </row>
    <row r="141" spans="1:18" hidden="1" x14ac:dyDescent="0.2">
      <c r="A141" s="46"/>
      <c r="B141" s="47"/>
      <c r="C141" s="74"/>
      <c r="D141" s="74"/>
      <c r="E141" s="74"/>
      <c r="F141" s="152"/>
      <c r="G141" s="74"/>
      <c r="H141" s="74"/>
      <c r="I141" s="74"/>
      <c r="J141" s="74"/>
      <c r="K141" s="42"/>
      <c r="M141" s="46"/>
      <c r="N141" s="46"/>
      <c r="O141" s="46"/>
      <c r="P141" s="46"/>
      <c r="Q141" s="46"/>
      <c r="R141" s="46"/>
    </row>
    <row r="142" spans="1:18" hidden="1" x14ac:dyDescent="0.2">
      <c r="A142" s="46"/>
      <c r="B142" s="47" t="s">
        <v>32</v>
      </c>
      <c r="C142" s="47"/>
      <c r="D142" s="47"/>
      <c r="E142" s="72">
        <f t="shared" ref="E142:J142" si="61">+E44-E60</f>
        <v>36500</v>
      </c>
      <c r="F142" s="72">
        <f t="shared" si="61"/>
        <v>47039.331199999986</v>
      </c>
      <c r="G142" s="72">
        <f t="shared" si="61"/>
        <v>42634.691071999987</v>
      </c>
      <c r="H142" s="72">
        <f t="shared" si="61"/>
        <v>37847.512536319991</v>
      </c>
      <c r="I142" s="72">
        <f t="shared" si="61"/>
        <v>32651.295488499163</v>
      </c>
      <c r="J142" s="72">
        <f t="shared" si="61"/>
        <v>27017.843383809115</v>
      </c>
      <c r="K142" s="42"/>
      <c r="M142" s="46"/>
      <c r="N142" s="46"/>
      <c r="O142" s="46"/>
      <c r="P142" s="46"/>
      <c r="Q142" s="46"/>
      <c r="R142" s="46"/>
    </row>
    <row r="143" spans="1:18" hidden="1" x14ac:dyDescent="0.2">
      <c r="A143" s="46"/>
      <c r="B143" s="47" t="s">
        <v>33</v>
      </c>
      <c r="C143" s="47"/>
      <c r="D143" s="47"/>
      <c r="E143" s="47">
        <f t="shared" ref="E143:J143" si="62">+E44-E130</f>
        <v>36500</v>
      </c>
      <c r="F143" s="47">
        <f t="shared" si="62"/>
        <v>-245250</v>
      </c>
      <c r="G143" s="47">
        <f t="shared" si="62"/>
        <v>-255250</v>
      </c>
      <c r="H143" s="47">
        <f t="shared" si="62"/>
        <v>-265250</v>
      </c>
      <c r="I143" s="47">
        <f t="shared" si="62"/>
        <v>-275250</v>
      </c>
      <c r="J143" s="47">
        <f t="shared" si="62"/>
        <v>-285250</v>
      </c>
      <c r="K143" s="42"/>
      <c r="M143" s="46"/>
      <c r="N143" s="46"/>
      <c r="O143" s="46"/>
      <c r="P143" s="46"/>
      <c r="Q143" s="46"/>
      <c r="R143" s="46"/>
    </row>
    <row r="144" spans="1:18" hidden="1" x14ac:dyDescent="0.2">
      <c r="A144" s="46"/>
      <c r="B144" s="56" t="s">
        <v>34</v>
      </c>
      <c r="C144" s="56"/>
      <c r="D144" s="56"/>
      <c r="E144" s="82">
        <f>+E143-E142</f>
        <v>0</v>
      </c>
      <c r="F144" s="82">
        <f t="shared" ref="F144:J144" si="63">+F143-F142</f>
        <v>-292289.33120000002</v>
      </c>
      <c r="G144" s="82">
        <f t="shared" si="63"/>
        <v>-297884.69107199996</v>
      </c>
      <c r="H144" s="82">
        <f t="shared" si="63"/>
        <v>-303097.51253632002</v>
      </c>
      <c r="I144" s="82">
        <f t="shared" si="63"/>
        <v>-307901.29548849916</v>
      </c>
      <c r="J144" s="82">
        <f t="shared" si="63"/>
        <v>-312267.84338380909</v>
      </c>
      <c r="K144" s="42"/>
      <c r="M144" s="46"/>
      <c r="N144" s="46"/>
      <c r="O144" s="46"/>
      <c r="P144" s="46"/>
      <c r="Q144" s="46"/>
      <c r="R144" s="46"/>
    </row>
    <row r="145" spans="1:18" hidden="1" x14ac:dyDescent="0.2">
      <c r="A145" s="46"/>
      <c r="B145" s="67" t="s">
        <v>35</v>
      </c>
      <c r="C145" s="83">
        <f t="shared" ref="C145:J145" si="64">IFERROR(C144/C57,0)</f>
        <v>0</v>
      </c>
      <c r="D145" s="83">
        <f t="shared" si="64"/>
        <v>0</v>
      </c>
      <c r="E145" s="83">
        <f t="shared" si="64"/>
        <v>0</v>
      </c>
      <c r="F145" s="83">
        <f t="shared" si="64"/>
        <v>-2.1011280710627998</v>
      </c>
      <c r="G145" s="83">
        <f t="shared" si="64"/>
        <v>-2.0201419192957748</v>
      </c>
      <c r="H145" s="83">
        <f t="shared" si="64"/>
        <v>-1.9391446354292579</v>
      </c>
      <c r="I145" s="83">
        <f t="shared" si="64"/>
        <v>-1.8583755451168569</v>
      </c>
      <c r="J145" s="83">
        <f t="shared" si="64"/>
        <v>-1.7780475222423613</v>
      </c>
      <c r="K145" s="47"/>
      <c r="L145" s="46"/>
      <c r="M145" s="46"/>
      <c r="N145" s="46"/>
      <c r="O145" s="46"/>
      <c r="P145" s="46"/>
      <c r="Q145" s="46"/>
      <c r="R145" s="46"/>
    </row>
    <row r="146" spans="1:18" hidden="1" x14ac:dyDescent="0.2">
      <c r="A146" s="46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6"/>
      <c r="M146" s="46"/>
      <c r="N146" s="46"/>
      <c r="O146" s="46"/>
      <c r="P146" s="46"/>
      <c r="Q146" s="46"/>
      <c r="R146" s="46"/>
    </row>
    <row r="147" spans="1:18" hidden="1" x14ac:dyDescent="0.2">
      <c r="A147" s="46"/>
      <c r="B147" s="47" t="s">
        <v>32</v>
      </c>
      <c r="C147" s="47"/>
      <c r="D147" s="47"/>
      <c r="E147" s="84">
        <f t="shared" ref="E147:J147" si="65">+E142</f>
        <v>36500</v>
      </c>
      <c r="F147" s="72">
        <f t="shared" si="65"/>
        <v>47039.331199999986</v>
      </c>
      <c r="G147" s="72">
        <f t="shared" si="65"/>
        <v>42634.691071999987</v>
      </c>
      <c r="H147" s="72">
        <f t="shared" si="65"/>
        <v>37847.512536319991</v>
      </c>
      <c r="I147" s="72">
        <f t="shared" si="65"/>
        <v>32651.295488499163</v>
      </c>
      <c r="J147" s="72">
        <f t="shared" si="65"/>
        <v>27017.843383809115</v>
      </c>
      <c r="K147" s="47"/>
      <c r="L147" s="46"/>
      <c r="M147" s="46"/>
      <c r="N147" s="46"/>
      <c r="O147" s="46"/>
      <c r="P147" s="46"/>
      <c r="Q147" s="46"/>
      <c r="R147" s="46"/>
    </row>
    <row r="148" spans="1:18" hidden="1" x14ac:dyDescent="0.2">
      <c r="A148" s="46"/>
      <c r="B148" s="47" t="s">
        <v>36</v>
      </c>
      <c r="C148" s="47"/>
      <c r="D148" s="47"/>
      <c r="E148" s="85" t="e">
        <f t="shared" ref="E148:J148" si="66">+E44-E130-E134</f>
        <v>#REF!</v>
      </c>
      <c r="F148" s="85" t="e">
        <f t="shared" si="66"/>
        <v>#REF!</v>
      </c>
      <c r="G148" s="85" t="e">
        <f t="shared" si="66"/>
        <v>#REF!</v>
      </c>
      <c r="H148" s="85" t="e">
        <f t="shared" si="66"/>
        <v>#REF!</v>
      </c>
      <c r="I148" s="85" t="e">
        <f t="shared" si="66"/>
        <v>#REF!</v>
      </c>
      <c r="J148" s="85" t="e">
        <f t="shared" si="66"/>
        <v>#REF!</v>
      </c>
      <c r="K148" s="46"/>
      <c r="L148" s="46"/>
      <c r="M148" s="46"/>
      <c r="N148" s="46"/>
      <c r="O148" s="46"/>
      <c r="P148" s="46"/>
      <c r="Q148" s="46"/>
      <c r="R148" s="46"/>
    </row>
    <row r="149" spans="1:18" hidden="1" x14ac:dyDescent="0.2">
      <c r="A149" s="46"/>
      <c r="B149" s="56" t="s">
        <v>34</v>
      </c>
      <c r="C149" s="56"/>
      <c r="D149" s="56"/>
      <c r="E149" s="82" t="e">
        <f>+E148-E147</f>
        <v>#REF!</v>
      </c>
      <c r="F149" s="82" t="e">
        <f t="shared" ref="F149:J149" si="67">+F148-F147</f>
        <v>#REF!</v>
      </c>
      <c r="G149" s="82" t="e">
        <f t="shared" si="67"/>
        <v>#REF!</v>
      </c>
      <c r="H149" s="82" t="e">
        <f t="shared" si="67"/>
        <v>#REF!</v>
      </c>
      <c r="I149" s="82" t="e">
        <f t="shared" si="67"/>
        <v>#REF!</v>
      </c>
      <c r="J149" s="82" t="e">
        <f t="shared" si="67"/>
        <v>#REF!</v>
      </c>
      <c r="K149" s="46"/>
      <c r="L149" s="46"/>
      <c r="M149" s="46"/>
      <c r="N149" s="46"/>
      <c r="O149" s="46"/>
      <c r="P149" s="46"/>
      <c r="Q149" s="46"/>
      <c r="R149" s="46"/>
    </row>
    <row r="150" spans="1:18" hidden="1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1" spans="1:18" hidden="1" x14ac:dyDescent="0.2">
      <c r="A151" s="46"/>
      <c r="B151" s="145" t="s">
        <v>37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</row>
    <row r="152" spans="1:18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</row>
    <row r="153" spans="1:18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</row>
    <row r="154" spans="1:18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</row>
    <row r="155" spans="1:18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1:18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</row>
    <row r="157" spans="1:18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</row>
    <row r="158" spans="1:18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</sheetData>
  <mergeCells count="6">
    <mergeCell ref="E6:J6"/>
    <mergeCell ref="E16:J16"/>
    <mergeCell ref="E15:J15"/>
    <mergeCell ref="E14:J14"/>
    <mergeCell ref="E13:J13"/>
    <mergeCell ref="E12:J12"/>
  </mergeCells>
  <phoneticPr fontId="4" type="noConversion"/>
  <hyperlinks>
    <hyperlink ref="E16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CA205-C9C7-4CE0-9A1F-AC059FB71B09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94</v>
      </c>
      <c r="B1" s="37"/>
      <c r="C1" s="37"/>
      <c r="D1" s="37"/>
      <c r="E1" s="37"/>
      <c r="F1" s="37"/>
      <c r="G1" s="37"/>
    </row>
    <row r="2" spans="1:18" ht="15.75" x14ac:dyDescent="0.25">
      <c r="A2" s="195" t="s">
        <v>95</v>
      </c>
      <c r="B2" s="196"/>
      <c r="C2" s="196"/>
      <c r="D2" s="196"/>
      <c r="E2" s="196"/>
      <c r="F2" s="196"/>
      <c r="G2" s="196"/>
    </row>
    <row r="3" spans="1:18" x14ac:dyDescent="0.2">
      <c r="A3" s="43" t="s">
        <v>3</v>
      </c>
    </row>
    <row r="4" spans="1:18" ht="15" x14ac:dyDescent="0.2">
      <c r="A4" s="44" t="s">
        <v>5</v>
      </c>
      <c r="F4" s="197"/>
    </row>
    <row r="5" spans="1:18" x14ac:dyDescent="0.2">
      <c r="A5" s="45" t="str">
        <f ca="1">CELL("filename")</f>
        <v>C:\Users\MPocrnich\AppData\Local\Microsoft\Windows\INetCache\Content.Outlook\SQRH6S4M\[230111-Fiscal-Impact-Analysis-Budget-Workbook.xlsx]General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198" t="s">
        <v>96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198" t="s">
        <v>97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45" t="s">
        <v>98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199" t="s">
        <v>99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5" x14ac:dyDescent="0.2">
      <c r="A12" s="47"/>
      <c r="B12" s="205" t="s">
        <v>100</v>
      </c>
      <c r="C12" s="206"/>
      <c r="D12" s="206"/>
      <c r="E12" s="206"/>
      <c r="F12" s="253"/>
      <c r="G12" s="253"/>
      <c r="H12" s="253"/>
      <c r="I12" s="253"/>
      <c r="J12" s="253"/>
      <c r="K12" s="253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205" t="s">
        <v>101</v>
      </c>
      <c r="C13" s="206"/>
      <c r="D13" s="206"/>
      <c r="E13" s="206"/>
      <c r="F13" s="253"/>
      <c r="G13" s="253"/>
      <c r="H13" s="253"/>
      <c r="I13" s="253"/>
      <c r="J13" s="253"/>
      <c r="K13" s="253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252" t="s">
        <v>102</v>
      </c>
      <c r="C14" s="252"/>
      <c r="D14" s="252"/>
      <c r="E14" s="252"/>
      <c r="F14" s="253"/>
      <c r="G14" s="253"/>
      <c r="H14" s="253"/>
      <c r="I14" s="253"/>
      <c r="J14" s="253"/>
      <c r="K14" s="253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252" t="s">
        <v>103</v>
      </c>
      <c r="C15" s="252"/>
      <c r="D15" s="252"/>
      <c r="E15" s="252"/>
      <c r="F15" s="253"/>
      <c r="G15" s="253"/>
      <c r="H15" s="253"/>
      <c r="I15" s="253"/>
      <c r="J15" s="253"/>
      <c r="K15" s="253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205" t="s">
        <v>104</v>
      </c>
      <c r="C16" s="206"/>
      <c r="D16" s="206"/>
      <c r="E16" s="206"/>
      <c r="F16" s="253"/>
      <c r="G16" s="253"/>
      <c r="H16" s="253"/>
      <c r="I16" s="253"/>
      <c r="J16" s="253"/>
      <c r="K16" s="253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205" t="s">
        <v>105</v>
      </c>
      <c r="C17" s="206"/>
      <c r="D17" s="206"/>
      <c r="E17" s="206"/>
      <c r="F17" s="253"/>
      <c r="G17" s="253"/>
      <c r="H17" s="253"/>
      <c r="I17" s="253"/>
      <c r="J17" s="253"/>
      <c r="K17" s="253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205" t="s">
        <v>106</v>
      </c>
      <c r="C18" s="206"/>
      <c r="D18" s="206"/>
      <c r="E18" s="206"/>
      <c r="F18" s="253"/>
      <c r="G18" s="253"/>
      <c r="H18" s="253"/>
      <c r="I18" s="253"/>
      <c r="J18" s="253"/>
      <c r="K18" s="253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252" t="s">
        <v>107</v>
      </c>
      <c r="C19" s="252"/>
      <c r="D19" s="252"/>
      <c r="E19" s="252"/>
      <c r="F19" s="253"/>
      <c r="G19" s="253"/>
      <c r="H19" s="253"/>
      <c r="I19" s="253"/>
      <c r="J19" s="253"/>
      <c r="K19" s="253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52" t="s">
        <v>108</v>
      </c>
      <c r="C20" s="252"/>
      <c r="D20" s="252"/>
      <c r="E20" s="252"/>
      <c r="F20" s="253"/>
      <c r="G20" s="253"/>
      <c r="H20" s="253"/>
      <c r="I20" s="253"/>
      <c r="J20" s="253"/>
      <c r="K20" s="253"/>
      <c r="L20" s="47"/>
      <c r="M20" s="207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199" t="s">
        <v>109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5">
      <c r="A23" s="46"/>
      <c r="B23" s="209" t="s">
        <v>110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213"/>
      <c r="C24" s="214"/>
      <c r="D24" s="215">
        <v>1</v>
      </c>
      <c r="E24" s="197" t="s">
        <v>111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213"/>
      <c r="C25" s="214"/>
      <c r="D25" s="215">
        <v>2</v>
      </c>
      <c r="E25" s="197" t="s">
        <v>112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213"/>
      <c r="C26" s="214"/>
      <c r="D26" s="215">
        <v>3</v>
      </c>
      <c r="E26" s="197" t="s">
        <v>113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213"/>
      <c r="C27" s="214"/>
      <c r="D27" s="215">
        <v>4</v>
      </c>
      <c r="E27" s="197" t="s">
        <v>114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213"/>
      <c r="C28" s="214"/>
      <c r="D28" s="215">
        <v>5</v>
      </c>
      <c r="E28" s="197" t="s">
        <v>115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213"/>
      <c r="C29" s="214"/>
      <c r="D29" s="215">
        <v>6</v>
      </c>
      <c r="E29" s="197" t="s">
        <v>116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213" t="s">
        <v>117</v>
      </c>
      <c r="C30" s="214"/>
      <c r="D30" s="215">
        <v>7</v>
      </c>
      <c r="E30" s="197" t="s">
        <v>118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213"/>
      <c r="C31" s="214"/>
      <c r="D31" s="215">
        <v>8</v>
      </c>
      <c r="E31" s="197" t="s">
        <v>119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213"/>
      <c r="C32" s="214"/>
      <c r="D32" s="215">
        <v>9</v>
      </c>
      <c r="E32" s="197" t="s">
        <v>120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213"/>
      <c r="C33" s="214"/>
      <c r="D33" s="215">
        <v>10</v>
      </c>
      <c r="E33" s="197" t="s">
        <v>121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213"/>
      <c r="C34" s="214"/>
      <c r="D34" s="215">
        <v>11</v>
      </c>
      <c r="E34" s="197" t="s">
        <v>122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213"/>
      <c r="C35" s="214"/>
      <c r="D35" s="215">
        <v>12</v>
      </c>
      <c r="E35" s="197" t="s">
        <v>123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213"/>
      <c r="C36" s="214"/>
      <c r="D36" s="215">
        <v>13</v>
      </c>
      <c r="E36" s="197" t="s">
        <v>124</v>
      </c>
      <c r="G36" s="250"/>
      <c r="H36" s="250"/>
      <c r="I36" s="250"/>
      <c r="J36" s="250"/>
      <c r="K36" s="250"/>
      <c r="L36" s="250"/>
      <c r="M36" s="250"/>
      <c r="N36" s="250"/>
      <c r="O36" s="46"/>
      <c r="P36" s="46"/>
      <c r="Q36" s="46"/>
      <c r="R36" s="46"/>
    </row>
    <row r="37" spans="1:18" ht="15" x14ac:dyDescent="0.2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199" t="s">
        <v>125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2">
      <c r="A39" s="46"/>
      <c r="B39" s="209" t="s">
        <v>126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209" t="s">
        <v>127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209" t="s">
        <v>128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213" t="s">
        <v>117</v>
      </c>
      <c r="C43" s="217" t="str">
        <f>IF(B43="x"," ","nc")</f>
        <v xml:space="preserve"> </v>
      </c>
      <c r="D43" s="215">
        <v>0</v>
      </c>
      <c r="E43" s="197" t="s">
        <v>129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213" t="s">
        <v>117</v>
      </c>
      <c r="C44" s="217" t="str">
        <f>IF(B44="x"," ","nc")</f>
        <v xml:space="preserve"> </v>
      </c>
      <c r="D44" s="215">
        <v>1</v>
      </c>
      <c r="E44" s="197" t="s">
        <v>130</v>
      </c>
      <c r="F44" s="212"/>
      <c r="G44" s="212"/>
      <c r="I44" s="218" t="s">
        <v>131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132</v>
      </c>
      <c r="F45" s="212"/>
      <c r="G45" s="212"/>
      <c r="I45" s="218" t="s">
        <v>133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213"/>
      <c r="C46" s="217" t="str">
        <f t="shared" si="0"/>
        <v>nc</v>
      </c>
      <c r="D46" s="215">
        <v>3</v>
      </c>
      <c r="E46" s="197" t="s">
        <v>134</v>
      </c>
      <c r="F46" s="212"/>
      <c r="G46" s="212"/>
      <c r="I46" s="218" t="s">
        <v>135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213" t="s">
        <v>117</v>
      </c>
      <c r="C47" s="217" t="str">
        <f t="shared" si="0"/>
        <v xml:space="preserve"> </v>
      </c>
      <c r="D47" s="215">
        <v>4</v>
      </c>
      <c r="E47" s="197" t="s">
        <v>136</v>
      </c>
      <c r="F47" s="212"/>
      <c r="G47" s="212"/>
      <c r="I47" s="218" t="s">
        <v>137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213" t="s">
        <v>117</v>
      </c>
      <c r="C48" s="217" t="str">
        <f t="shared" si="0"/>
        <v xml:space="preserve"> </v>
      </c>
      <c r="D48" s="215">
        <v>5</v>
      </c>
      <c r="E48" s="197" t="s">
        <v>138</v>
      </c>
      <c r="F48" s="212"/>
      <c r="G48" s="212"/>
      <c r="I48" s="218" t="s">
        <v>139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213"/>
      <c r="C49" s="217" t="str">
        <f t="shared" si="0"/>
        <v>nc</v>
      </c>
      <c r="D49" s="215">
        <v>6</v>
      </c>
      <c r="E49" s="197" t="s">
        <v>140</v>
      </c>
      <c r="F49" s="212"/>
      <c r="H49" s="212"/>
      <c r="I49" s="218" t="s">
        <v>141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213"/>
      <c r="C50" s="217" t="str">
        <f t="shared" si="0"/>
        <v>nc</v>
      </c>
      <c r="D50" s="215">
        <v>7</v>
      </c>
      <c r="E50" s="197" t="s">
        <v>142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213"/>
      <c r="C51" s="217" t="str">
        <f t="shared" si="0"/>
        <v>nc</v>
      </c>
      <c r="D51" s="215">
        <v>8</v>
      </c>
      <c r="E51" s="197" t="s">
        <v>143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213"/>
      <c r="C52" s="217" t="str">
        <f t="shared" si="0"/>
        <v>nc</v>
      </c>
      <c r="D52" s="215">
        <v>9</v>
      </c>
      <c r="E52" s="197" t="s">
        <v>144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213"/>
      <c r="C53" s="217" t="str">
        <f t="shared" si="0"/>
        <v>nc</v>
      </c>
      <c r="D53" s="215">
        <v>10</v>
      </c>
      <c r="E53" s="197" t="s">
        <v>145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213"/>
      <c r="C54" s="217" t="str">
        <f t="shared" si="0"/>
        <v>nc</v>
      </c>
      <c r="D54" s="215">
        <v>11</v>
      </c>
      <c r="E54" s="197" t="s">
        <v>146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213"/>
      <c r="C55" s="217" t="str">
        <f t="shared" si="0"/>
        <v>nc</v>
      </c>
      <c r="D55" s="215">
        <v>12</v>
      </c>
      <c r="E55" s="197" t="s">
        <v>147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213"/>
      <c r="C56" s="217" t="str">
        <f t="shared" si="0"/>
        <v>nc</v>
      </c>
      <c r="D56" s="215">
        <v>13</v>
      </c>
      <c r="E56" s="197" t="s">
        <v>148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213"/>
      <c r="C57" s="217" t="str">
        <f t="shared" si="0"/>
        <v>nc</v>
      </c>
      <c r="D57" s="215">
        <v>14</v>
      </c>
      <c r="E57" s="197" t="s">
        <v>149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213"/>
      <c r="C58" s="217" t="str">
        <f t="shared" si="0"/>
        <v>nc</v>
      </c>
      <c r="D58" s="215">
        <v>15</v>
      </c>
      <c r="E58" s="220" t="s">
        <v>150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213"/>
      <c r="C59" s="217" t="str">
        <f t="shared" si="0"/>
        <v>nc</v>
      </c>
      <c r="D59" s="215">
        <v>16</v>
      </c>
      <c r="E59" s="197" t="s">
        <v>151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213"/>
      <c r="C60" s="217" t="str">
        <f t="shared" si="0"/>
        <v>nc</v>
      </c>
      <c r="D60" s="215">
        <v>17</v>
      </c>
      <c r="E60" s="197" t="s">
        <v>152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213"/>
      <c r="C61" s="217" t="str">
        <f t="shared" si="0"/>
        <v>nc</v>
      </c>
      <c r="D61" s="215">
        <v>18</v>
      </c>
      <c r="E61" s="197" t="s">
        <v>153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213"/>
      <c r="C62" s="217" t="str">
        <f t="shared" si="0"/>
        <v>nc</v>
      </c>
      <c r="D62" s="215">
        <v>19</v>
      </c>
      <c r="E62" s="197" t="s">
        <v>154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213"/>
      <c r="C63" s="217" t="str">
        <f t="shared" si="0"/>
        <v>nc</v>
      </c>
      <c r="D63" s="215">
        <v>20</v>
      </c>
      <c r="E63" s="197" t="s">
        <v>155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213"/>
      <c r="C64" s="217" t="str">
        <f t="shared" si="0"/>
        <v>nc</v>
      </c>
      <c r="D64" s="215">
        <v>21</v>
      </c>
      <c r="E64" s="197" t="s">
        <v>156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213"/>
      <c r="C65" s="217" t="str">
        <f t="shared" si="0"/>
        <v>nc</v>
      </c>
      <c r="D65" s="215">
        <v>22</v>
      </c>
      <c r="E65" s="197" t="s">
        <v>157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199" t="s">
        <v>158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2">
      <c r="A68" s="46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46"/>
      <c r="P68" s="46"/>
      <c r="Q68" s="46"/>
      <c r="R68" s="46"/>
    </row>
    <row r="69" spans="1:18" x14ac:dyDescent="0.2">
      <c r="A69" s="46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46"/>
      <c r="P69" s="46"/>
      <c r="Q69" s="46"/>
      <c r="R69" s="46"/>
    </row>
    <row r="70" spans="1:18" x14ac:dyDescent="0.2">
      <c r="A70" s="46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46"/>
      <c r="P70" s="46"/>
      <c r="Q70" s="46"/>
      <c r="R70" s="46"/>
    </row>
    <row r="71" spans="1:18" x14ac:dyDescent="0.2">
      <c r="A71" s="46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46"/>
      <c r="P71" s="46"/>
      <c r="Q71" s="46"/>
      <c r="R71" s="46"/>
    </row>
    <row r="72" spans="1:18" x14ac:dyDescent="0.2">
      <c r="A72" s="46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46"/>
      <c r="P72" s="46"/>
      <c r="Q72" s="46"/>
      <c r="R72" s="46"/>
    </row>
    <row r="73" spans="1:18" x14ac:dyDescent="0.2">
      <c r="A73" s="46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46"/>
      <c r="P73" s="46"/>
      <c r="Q73" s="46"/>
      <c r="R73" s="46"/>
    </row>
    <row r="74" spans="1:18" ht="18" x14ac:dyDescent="0.25">
      <c r="A74" s="46"/>
      <c r="B74" s="199" t="s">
        <v>159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2">
      <c r="A75" s="46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46"/>
      <c r="P75" s="46"/>
      <c r="Q75" s="46"/>
      <c r="R75" s="46"/>
    </row>
    <row r="76" spans="1:18" x14ac:dyDescent="0.2">
      <c r="A76" s="46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46"/>
      <c r="P76" s="46"/>
      <c r="Q76" s="46"/>
      <c r="R76" s="46"/>
    </row>
    <row r="77" spans="1:18" x14ac:dyDescent="0.2">
      <c r="A77" s="46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46"/>
      <c r="P77" s="46"/>
      <c r="Q77" s="46"/>
      <c r="R77" s="46"/>
    </row>
    <row r="78" spans="1:18" x14ac:dyDescent="0.2">
      <c r="A78" s="46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46"/>
      <c r="P78" s="46"/>
      <c r="Q78" s="46"/>
      <c r="R78" s="46"/>
    </row>
    <row r="79" spans="1:18" x14ac:dyDescent="0.2">
      <c r="A79" s="46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</mergeCells>
  <conditionalFormatting sqref="B24:B36">
    <cfRule type="cellIs" dxfId="4" priority="3" stopIfTrue="1" operator="equal">
      <formula>0</formula>
    </cfRule>
  </conditionalFormatting>
  <conditionalFormatting sqref="B43:C65">
    <cfRule type="cellIs" dxfId="3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94</v>
      </c>
      <c r="B1" s="5"/>
      <c r="C1" s="5"/>
      <c r="D1" s="5"/>
      <c r="E1" s="5"/>
      <c r="F1" s="5"/>
      <c r="G1" s="5"/>
    </row>
    <row r="2" spans="1:18" ht="15.75" x14ac:dyDescent="0.25">
      <c r="A2" s="35" t="s">
        <v>160</v>
      </c>
      <c r="B2" s="36"/>
      <c r="C2" s="36"/>
      <c r="D2" s="36"/>
      <c r="E2" s="36"/>
      <c r="F2" s="36"/>
      <c r="G2" s="36"/>
    </row>
    <row r="3" spans="1:18" x14ac:dyDescent="0.2">
      <c r="A3" s="1" t="s">
        <v>3</v>
      </c>
    </row>
    <row r="4" spans="1:18" ht="15" x14ac:dyDescent="0.2">
      <c r="A4" s="2" t="s">
        <v>5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96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97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98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99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100</v>
      </c>
      <c r="C12" s="18"/>
      <c r="D12" s="18"/>
      <c r="E12" s="18"/>
      <c r="F12" s="254"/>
      <c r="G12" s="254"/>
      <c r="H12" s="254"/>
      <c r="I12" s="254"/>
      <c r="J12" s="254"/>
      <c r="K12" s="254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101</v>
      </c>
      <c r="C13" s="18"/>
      <c r="D13" s="18"/>
      <c r="E13" s="18"/>
      <c r="F13" s="256">
        <v>44153</v>
      </c>
      <c r="G13" s="257"/>
      <c r="H13" s="257"/>
      <c r="I13" s="257"/>
      <c r="J13" s="257"/>
      <c r="K13" s="257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55" t="s">
        <v>102</v>
      </c>
      <c r="C14" s="255"/>
      <c r="D14" s="255"/>
      <c r="E14" s="255"/>
      <c r="F14" s="256"/>
      <c r="G14" s="257"/>
      <c r="H14" s="257"/>
      <c r="I14" s="257"/>
      <c r="J14" s="257"/>
      <c r="K14" s="257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55" t="s">
        <v>103</v>
      </c>
      <c r="C15" s="255"/>
      <c r="D15" s="255"/>
      <c r="E15" s="255"/>
      <c r="F15" s="256"/>
      <c r="G15" s="257"/>
      <c r="H15" s="257"/>
      <c r="I15" s="257"/>
      <c r="J15" s="257"/>
      <c r="K15" s="257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104</v>
      </c>
      <c r="C16" s="18"/>
      <c r="D16" s="18"/>
      <c r="E16" s="18"/>
      <c r="F16" s="254"/>
      <c r="G16" s="254"/>
      <c r="H16" s="254"/>
      <c r="I16" s="254"/>
      <c r="J16" s="254"/>
      <c r="K16" s="254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105</v>
      </c>
      <c r="C17" s="18"/>
      <c r="D17" s="18"/>
      <c r="E17" s="18"/>
      <c r="F17" s="254"/>
      <c r="G17" s="254"/>
      <c r="H17" s="254"/>
      <c r="I17" s="254"/>
      <c r="J17" s="254"/>
      <c r="K17" s="254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106</v>
      </c>
      <c r="C18" s="18"/>
      <c r="D18" s="18"/>
      <c r="E18" s="18"/>
      <c r="F18" s="254"/>
      <c r="G18" s="254"/>
      <c r="H18" s="254"/>
      <c r="I18" s="254"/>
      <c r="J18" s="254"/>
      <c r="K18" s="254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55" t="s">
        <v>107</v>
      </c>
      <c r="C19" s="255"/>
      <c r="D19" s="255"/>
      <c r="E19" s="255"/>
      <c r="F19" s="258"/>
      <c r="G19" s="254"/>
      <c r="H19" s="254"/>
      <c r="I19" s="254"/>
      <c r="J19" s="254"/>
      <c r="K19" s="254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55" t="s">
        <v>108</v>
      </c>
      <c r="C20" s="255"/>
      <c r="D20" s="255"/>
      <c r="E20" s="255"/>
      <c r="F20" s="256"/>
      <c r="G20" s="257"/>
      <c r="H20" s="257"/>
      <c r="I20" s="257"/>
      <c r="J20" s="257"/>
      <c r="K20" s="257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109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110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111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112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113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114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115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116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118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117</v>
      </c>
      <c r="C31" s="29"/>
      <c r="D31" s="30">
        <v>8</v>
      </c>
      <c r="E31" s="8" t="s">
        <v>119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120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121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122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123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124</v>
      </c>
      <c r="G36" s="259"/>
      <c r="H36" s="259"/>
      <c r="I36" s="259"/>
      <c r="J36" s="259"/>
      <c r="K36" s="259"/>
      <c r="L36" s="259"/>
      <c r="M36" s="259"/>
      <c r="N36" s="259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125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126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127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128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117</v>
      </c>
      <c r="C43" s="13" t="str">
        <f>IF(B43="x"," ","nc")</f>
        <v xml:space="preserve"> </v>
      </c>
      <c r="D43" s="30">
        <v>1</v>
      </c>
      <c r="E43" s="8" t="s">
        <v>130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132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134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117</v>
      </c>
      <c r="C46" s="13" t="str">
        <f t="shared" si="0"/>
        <v xml:space="preserve"> </v>
      </c>
      <c r="D46" s="30">
        <v>4</v>
      </c>
      <c r="E46" s="8" t="s">
        <v>136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117</v>
      </c>
      <c r="C47" s="13" t="str">
        <f t="shared" si="0"/>
        <v xml:space="preserve"> </v>
      </c>
      <c r="D47" s="30">
        <v>5</v>
      </c>
      <c r="E47" s="8" t="s">
        <v>138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140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142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143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144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145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146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147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148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149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150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117</v>
      </c>
      <c r="C58" s="13" t="str">
        <f t="shared" si="0"/>
        <v xml:space="preserve"> </v>
      </c>
      <c r="D58" s="30">
        <v>16</v>
      </c>
      <c r="E58" s="8" t="s">
        <v>151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152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153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154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117</v>
      </c>
      <c r="C62" s="13" t="str">
        <f t="shared" si="0"/>
        <v xml:space="preserve"> </v>
      </c>
      <c r="D62" s="30">
        <v>20</v>
      </c>
      <c r="E62" s="8" t="s">
        <v>155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156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157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43" t="s">
        <v>161</v>
      </c>
      <c r="C65" s="13" t="str">
        <f t="shared" si="0"/>
        <v xml:space="preserve"> </v>
      </c>
      <c r="D65" s="30">
        <v>23</v>
      </c>
      <c r="E65" s="8" t="s">
        <v>162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43" t="s">
        <v>117</v>
      </c>
      <c r="C66" s="13" t="str">
        <f t="shared" si="0"/>
        <v xml:space="preserve"> </v>
      </c>
      <c r="D66" s="30">
        <v>24</v>
      </c>
      <c r="E66" s="8" t="s">
        <v>163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158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60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4"/>
      <c r="P69" s="4"/>
      <c r="Q69" s="4"/>
      <c r="R69" s="4"/>
    </row>
    <row r="70" spans="1:18" x14ac:dyDescent="0.2">
      <c r="A70" s="4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4"/>
      <c r="P70" s="4"/>
      <c r="Q70" s="4"/>
      <c r="R70" s="4"/>
    </row>
    <row r="71" spans="1:18" x14ac:dyDescent="0.2">
      <c r="A71" s="4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4"/>
      <c r="P71" s="4"/>
      <c r="Q71" s="4"/>
      <c r="R71" s="4"/>
    </row>
    <row r="72" spans="1:18" x14ac:dyDescent="0.2">
      <c r="A72" s="4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4"/>
      <c r="P72" s="4"/>
      <c r="Q72" s="4"/>
      <c r="R72" s="4"/>
    </row>
    <row r="73" spans="1:18" x14ac:dyDescent="0.2">
      <c r="A73" s="4"/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4"/>
      <c r="P73" s="4"/>
      <c r="Q73" s="4"/>
      <c r="R73" s="4"/>
    </row>
    <row r="74" spans="1:18" x14ac:dyDescent="0.2">
      <c r="A74" s="4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4"/>
      <c r="P74" s="4"/>
      <c r="Q74" s="4"/>
      <c r="R74" s="4"/>
    </row>
    <row r="75" spans="1:18" ht="18" x14ac:dyDescent="0.25">
      <c r="A75" s="4"/>
      <c r="B75" s="21" t="s">
        <v>159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60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4"/>
      <c r="P76" s="4"/>
      <c r="Q76" s="4"/>
      <c r="R76" s="4"/>
    </row>
    <row r="77" spans="1:18" x14ac:dyDescent="0.2">
      <c r="A77" s="4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4"/>
      <c r="P77" s="4"/>
      <c r="Q77" s="4"/>
      <c r="R77" s="4"/>
    </row>
    <row r="78" spans="1:18" x14ac:dyDescent="0.2">
      <c r="A78" s="4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4"/>
      <c r="P78" s="4"/>
      <c r="Q78" s="4"/>
      <c r="R78" s="4"/>
    </row>
    <row r="79" spans="1:18" x14ac:dyDescent="0.2">
      <c r="A79" s="4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4"/>
      <c r="P79" s="4"/>
      <c r="Q79" s="4"/>
      <c r="R79" s="4"/>
    </row>
    <row r="80" spans="1:18" x14ac:dyDescent="0.2">
      <c r="A80" s="4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  <mergeCell ref="F15:K15"/>
    <mergeCell ref="F14:K14"/>
    <mergeCell ref="F13:K13"/>
    <mergeCell ref="F12:K12"/>
    <mergeCell ref="B14:E14"/>
    <mergeCell ref="B15:E15"/>
    <mergeCell ref="F17:K17"/>
    <mergeCell ref="F16:K16"/>
    <mergeCell ref="B19:E19"/>
    <mergeCell ref="B20:E20"/>
    <mergeCell ref="F20:K20"/>
    <mergeCell ref="F19:K19"/>
    <mergeCell ref="F18:K18"/>
  </mergeCells>
  <phoneticPr fontId="4" type="noConversion"/>
  <conditionalFormatting sqref="B24:B36">
    <cfRule type="cellIs" dxfId="2" priority="2" stopIfTrue="1" operator="equal">
      <formula>0</formula>
    </cfRule>
  </conditionalFormatting>
  <conditionalFormatting sqref="B43:C66">
    <cfRule type="cellIs" dxfId="1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164</v>
      </c>
      <c r="B1" s="37"/>
      <c r="C1" s="37"/>
      <c r="E1" s="144" t="s">
        <v>165</v>
      </c>
    </row>
    <row r="2" spans="1:15" ht="15.75" x14ac:dyDescent="0.25">
      <c r="A2" s="40" t="str">
        <f>Facilities!A2</f>
        <v>School Name</v>
      </c>
      <c r="B2" s="41"/>
      <c r="C2" s="41"/>
    </row>
    <row r="3" spans="1:15" x14ac:dyDescent="0.2">
      <c r="A3" s="43" t="s">
        <v>3</v>
      </c>
    </row>
    <row r="4" spans="1:15" x14ac:dyDescent="0.2">
      <c r="A4" s="44" t="s">
        <v>5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86" t="s">
        <v>166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87" t="s">
        <v>167</v>
      </c>
      <c r="F8" s="88">
        <v>2014</v>
      </c>
      <c r="G8" s="46"/>
      <c r="J8" s="46"/>
      <c r="K8" s="46"/>
      <c r="L8" s="46"/>
      <c r="M8" s="46"/>
    </row>
    <row r="9" spans="1:15" ht="15.75" x14ac:dyDescent="0.2">
      <c r="B9" s="87"/>
      <c r="D9" s="46"/>
      <c r="E9" s="46"/>
      <c r="G9" s="46"/>
      <c r="J9" s="46"/>
      <c r="K9" s="46"/>
      <c r="L9" s="46"/>
      <c r="M9" s="46"/>
    </row>
    <row r="10" spans="1:15" x14ac:dyDescent="0.2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90" t="s">
        <v>168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.25" x14ac:dyDescent="0.2">
      <c r="B14" s="93" t="s">
        <v>169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5" x14ac:dyDescent="0.2">
      <c r="B15" s="97" t="s">
        <v>170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171</v>
      </c>
    </row>
    <row r="17" spans="1:15" ht="15.75" x14ac:dyDescent="0.2">
      <c r="B17" s="90" t="s">
        <v>172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173</v>
      </c>
    </row>
    <row r="18" spans="1:15" ht="13.5" thickBot="1" x14ac:dyDescent="0.2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174</v>
      </c>
    </row>
    <row r="19" spans="1:15" ht="13.5" thickBot="1" x14ac:dyDescent="0.25">
      <c r="B19" s="102" t="s">
        <v>169</v>
      </c>
      <c r="C19" s="103" t="s">
        <v>175</v>
      </c>
      <c r="D19" s="104"/>
      <c r="E19" s="104"/>
      <c r="F19" s="104"/>
      <c r="G19" s="104"/>
      <c r="H19" s="104"/>
      <c r="I19" s="105"/>
      <c r="J19" s="106" t="s">
        <v>176</v>
      </c>
      <c r="K19" s="107"/>
      <c r="L19" s="108"/>
      <c r="M19" s="46"/>
      <c r="O19" s="100" t="s">
        <v>177</v>
      </c>
    </row>
    <row r="20" spans="1:15" x14ac:dyDescent="0.2">
      <c r="B20" s="109"/>
      <c r="C20" s="110" t="s">
        <v>178</v>
      </c>
      <c r="D20" s="111" t="s">
        <v>179</v>
      </c>
      <c r="E20" s="111" t="s">
        <v>180</v>
      </c>
      <c r="F20" s="111" t="s">
        <v>181</v>
      </c>
      <c r="G20" s="111" t="s">
        <v>182</v>
      </c>
      <c r="H20" s="111" t="s">
        <v>183</v>
      </c>
      <c r="I20" s="112" t="s">
        <v>184</v>
      </c>
      <c r="J20" s="110" t="s">
        <v>185</v>
      </c>
      <c r="K20" s="111" t="s">
        <v>186</v>
      </c>
      <c r="L20" s="113" t="s">
        <v>187</v>
      </c>
      <c r="M20" s="46"/>
      <c r="O20" s="100" t="s">
        <v>188</v>
      </c>
    </row>
    <row r="21" spans="1:15" x14ac:dyDescent="0.2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189</v>
      </c>
    </row>
    <row r="22" spans="1:15" x14ac:dyDescent="0.2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190</v>
      </c>
    </row>
    <row r="23" spans="1:15" x14ac:dyDescent="0.2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191</v>
      </c>
    </row>
    <row r="24" spans="1:15" x14ac:dyDescent="0.2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192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193</v>
      </c>
    </row>
    <row r="28" spans="1:15" ht="15.75" x14ac:dyDescent="0.2">
      <c r="B28" s="90" t="s">
        <v>194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2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.25" x14ac:dyDescent="0.2">
      <c r="B30" s="123" t="s">
        <v>195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2">
      <c r="B31" s="125" t="s">
        <v>196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2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2">
      <c r="B33" s="130" t="s">
        <v>197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2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2">
      <c r="B35" s="130" t="s">
        <v>197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2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2">
      <c r="B37" s="130" t="s">
        <v>197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2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2">
      <c r="B39" s="130" t="s">
        <v>197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2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2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2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2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2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2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2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2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2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2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2">
      <c r="B50" s="138" t="s">
        <v>198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2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199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C32:H4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7D7F6-76C9-4297-8E4A-CB9E22B96C3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db173ee-3fb8-4f75-bf43-79a22ca96f2e"/>
    <ds:schemaRef ds:uri="9224003f-e6e7-470a-941a-44de56618887"/>
  </ds:schemaRefs>
</ds:datastoreItem>
</file>

<file path=customXml/itemProps3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534383A2-A83C-46E3-B5D4-B20D0F93F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Michael Pocrnich</cp:lastModifiedBy>
  <cp:revision/>
  <dcterms:created xsi:type="dcterms:W3CDTF">2011-01-17T07:44:01Z</dcterms:created>
  <dcterms:modified xsi:type="dcterms:W3CDTF">2023-07-25T18:34:25Z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MediaServiceImageTags">
    <vt:lpwstr/>
  </property>
</Properties>
</file>