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thy\Downloads\"/>
    </mc:Choice>
  </mc:AlternateContent>
  <xr:revisionPtr revIDLastSave="0" documentId="13_ncr:1_{2C5F8E4E-FD8D-4018-B36B-459C89BCAD6C}" xr6:coauthVersionLast="47" xr6:coauthVersionMax="47" xr10:uidLastSave="{00000000-0000-0000-0000-000000000000}"/>
  <bookViews>
    <workbookView xWindow="22920" yWindow="-5625" windowWidth="29040" windowHeight="15720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Facilities!$A$1:$J$97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2" l="1"/>
  <c r="I66" i="2"/>
  <c r="H66" i="2"/>
  <c r="G66" i="2"/>
  <c r="F66" i="2"/>
  <c r="E65" i="2"/>
  <c r="E57" i="2"/>
  <c r="H51" i="2"/>
  <c r="I51" i="2" s="1"/>
  <c r="J51" i="2" s="1"/>
  <c r="G51" i="2"/>
  <c r="J79" i="2"/>
  <c r="I79" i="2"/>
  <c r="H79" i="2"/>
  <c r="G79" i="2"/>
  <c r="F79" i="2"/>
  <c r="F94" i="2"/>
  <c r="E94" i="2"/>
  <c r="D94" i="2"/>
  <c r="C9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19" i="4"/>
  <c r="J20" i="4" s="1"/>
  <c r="I19" i="4"/>
  <c r="I20" i="4" s="1"/>
  <c r="H19" i="4"/>
  <c r="H20" i="4" s="1"/>
  <c r="G19" i="4"/>
  <c r="G20" i="4" s="1"/>
  <c r="F19" i="4"/>
  <c r="F20" i="4" s="1"/>
  <c r="E18" i="4"/>
  <c r="E19" i="4" s="1"/>
  <c r="E20" i="4" s="1"/>
  <c r="D18" i="4"/>
  <c r="D19" i="4" s="1"/>
  <c r="D20" i="4" s="1"/>
  <c r="C18" i="4"/>
  <c r="C19" i="4" s="1"/>
  <c r="C20" i="4" s="1"/>
  <c r="J12" i="4"/>
  <c r="I12" i="4"/>
  <c r="H12" i="4"/>
  <c r="G12" i="4"/>
  <c r="F12" i="4"/>
  <c r="E12" i="4"/>
  <c r="D12" i="4"/>
  <c r="C12" i="4"/>
  <c r="F7" i="4"/>
  <c r="D7" i="4"/>
  <c r="C7" i="4" s="1"/>
  <c r="G94" i="2" l="1"/>
  <c r="H94" i="2"/>
  <c r="G7" i="4"/>
  <c r="H7" i="4" s="1"/>
  <c r="I7" i="4" s="1"/>
  <c r="J7" i="4" s="1"/>
  <c r="C33" i="4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C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E41" i="2"/>
  <c r="E42" i="2" s="1"/>
  <c r="D32" i="2"/>
  <c r="D40" i="2" s="1"/>
  <c r="D41" i="2" s="1"/>
  <c r="D42" i="2" s="1"/>
  <c r="F68" i="2"/>
  <c r="E68" i="2"/>
  <c r="D68" i="2"/>
  <c r="J68" i="2"/>
  <c r="C68" i="2"/>
  <c r="F41" i="2" l="1"/>
  <c r="F42" i="2" s="1"/>
  <c r="I94" i="2"/>
  <c r="J94" i="2"/>
  <c r="G68" i="2"/>
  <c r="H68" i="2"/>
  <c r="I68" i="2"/>
  <c r="G41" i="2"/>
  <c r="G42" i="2" s="1"/>
  <c r="D33" i="4"/>
  <c r="D31" i="4"/>
  <c r="E30" i="4"/>
  <c r="G30" i="4"/>
  <c r="G50" i="4"/>
  <c r="G52" i="4" s="1"/>
  <c r="C32" i="2"/>
  <c r="C57" i="2" l="1"/>
  <c r="C40" i="2"/>
  <c r="C41" i="2" s="1"/>
  <c r="C42" i="2" s="1"/>
  <c r="H41" i="2"/>
  <c r="H42" i="2" s="1"/>
  <c r="G33" i="4"/>
  <c r="G54" i="4" s="1"/>
  <c r="G59" i="4" s="1"/>
  <c r="G31" i="4"/>
  <c r="E33" i="4"/>
  <c r="E31" i="4"/>
  <c r="F30" i="4"/>
  <c r="F50" i="4"/>
  <c r="F52" i="4" s="1"/>
  <c r="F53" i="2"/>
  <c r="G55" i="4" l="1"/>
  <c r="G56" i="4" s="1"/>
  <c r="G57" i="4" s="1"/>
  <c r="G60" i="4"/>
  <c r="G61" i="4" s="1"/>
  <c r="D57" i="2"/>
  <c r="C75" i="2"/>
  <c r="C77" i="2" s="1"/>
  <c r="C79" i="2" s="1"/>
  <c r="J41" i="2"/>
  <c r="J42" i="2" s="1"/>
  <c r="I41" i="2"/>
  <c r="I42" i="2" s="1"/>
  <c r="F33" i="4"/>
  <c r="F34" i="4" s="1"/>
  <c r="G34" i="4" s="1"/>
  <c r="F31" i="4"/>
  <c r="E60" i="4"/>
  <c r="E54" i="4"/>
  <c r="E59" i="4" s="1"/>
  <c r="E55" i="4"/>
  <c r="H50" i="4"/>
  <c r="H52" i="4" s="1"/>
  <c r="H30" i="4"/>
  <c r="G92" i="2"/>
  <c r="F92" i="2"/>
  <c r="E92" i="2"/>
  <c r="D92" i="2"/>
  <c r="C92" i="2"/>
  <c r="D91" i="2"/>
  <c r="C91" i="2"/>
  <c r="E60" i="2"/>
  <c r="E70" i="2" s="1"/>
  <c r="D60" i="2"/>
  <c r="D70" i="2" s="1"/>
  <c r="C60" i="2"/>
  <c r="C70" i="2" s="1"/>
  <c r="E84" i="2"/>
  <c r="E86" i="2" s="1"/>
  <c r="D84" i="2"/>
  <c r="D86" i="2" s="1"/>
  <c r="C84" i="2"/>
  <c r="C86" i="2" s="1"/>
  <c r="F84" i="2"/>
  <c r="F86" i="2" s="1"/>
  <c r="B58" i="2"/>
  <c r="B66" i="2" s="1"/>
  <c r="B125" i="2"/>
  <c r="C83" i="2"/>
  <c r="C85" i="2" s="1"/>
  <c r="J27" i="2"/>
  <c r="I27" i="2"/>
  <c r="H27" i="2"/>
  <c r="G27" i="2"/>
  <c r="F27" i="2"/>
  <c r="E27" i="2"/>
  <c r="D27" i="2"/>
  <c r="C27" i="2"/>
  <c r="B139" i="2"/>
  <c r="B138" i="2"/>
  <c r="D75" i="2" l="1"/>
  <c r="D83" i="2"/>
  <c r="D85" i="2" s="1"/>
  <c r="H33" i="4"/>
  <c r="H34" i="4" s="1"/>
  <c r="H31" i="4"/>
  <c r="E56" i="4"/>
  <c r="E57" i="4" s="1"/>
  <c r="F54" i="4"/>
  <c r="F59" i="4" s="1"/>
  <c r="F60" i="4"/>
  <c r="F55" i="4"/>
  <c r="E61" i="4"/>
  <c r="I50" i="4"/>
  <c r="I52" i="4" s="1"/>
  <c r="I30" i="4"/>
  <c r="G84" i="2"/>
  <c r="G86" i="2" s="1"/>
  <c r="G53" i="2"/>
  <c r="I53" i="2"/>
  <c r="H53" i="2"/>
  <c r="J53" i="2"/>
  <c r="B57" i="2"/>
  <c r="B65" i="2" s="1"/>
  <c r="H55" i="4" l="1"/>
  <c r="H54" i="4"/>
  <c r="H59" i="4" s="1"/>
  <c r="H60" i="4"/>
  <c r="D77" i="2"/>
  <c r="D79" i="2" s="1"/>
  <c r="F57" i="2"/>
  <c r="E83" i="2"/>
  <c r="E85" i="2" s="1"/>
  <c r="E91" i="2"/>
  <c r="F56" i="4"/>
  <c r="F57" i="4" s="1"/>
  <c r="I33" i="4"/>
  <c r="I34" i="4" s="1"/>
  <c r="I31" i="4"/>
  <c r="F61" i="4"/>
  <c r="J50" i="4"/>
  <c r="J52" i="4" s="1"/>
  <c r="J30" i="4"/>
  <c r="H84" i="2"/>
  <c r="H86" i="2" s="1"/>
  <c r="H92" i="2"/>
  <c r="C14" i="3"/>
  <c r="H61" i="4" l="1"/>
  <c r="H56" i="4"/>
  <c r="H57" i="4" s="1"/>
  <c r="I55" i="4"/>
  <c r="E79" i="2"/>
  <c r="G57" i="2"/>
  <c r="F83" i="2"/>
  <c r="F85" i="2" s="1"/>
  <c r="F60" i="2"/>
  <c r="F91" i="2"/>
  <c r="J33" i="4"/>
  <c r="J34" i="4" s="1"/>
  <c r="J31" i="4"/>
  <c r="I54" i="4"/>
  <c r="I59" i="4" s="1"/>
  <c r="I60" i="4"/>
  <c r="I92" i="2"/>
  <c r="I84" i="2"/>
  <c r="I86" i="2" s="1"/>
  <c r="J92" i="2"/>
  <c r="J84" i="2"/>
  <c r="J86" i="2" s="1"/>
  <c r="D44" i="2"/>
  <c r="I56" i="4" l="1"/>
  <c r="I57" i="4" s="1"/>
  <c r="J54" i="4"/>
  <c r="J59" i="4" s="1"/>
  <c r="J60" i="4"/>
  <c r="J55" i="4"/>
  <c r="H57" i="2"/>
  <c r="G83" i="2"/>
  <c r="G85" i="2" s="1"/>
  <c r="G91" i="2"/>
  <c r="G60" i="2"/>
  <c r="G70" i="2" s="1"/>
  <c r="F61" i="2"/>
  <c r="F70" i="2"/>
  <c r="F71" i="2" s="1"/>
  <c r="I61" i="4"/>
  <c r="J56" i="4" l="1"/>
  <c r="J57" i="4" s="1"/>
  <c r="J61" i="4"/>
  <c r="G71" i="2"/>
  <c r="G61" i="2"/>
  <c r="I57" i="2"/>
  <c r="H83" i="2"/>
  <c r="H85" i="2" s="1"/>
  <c r="H60" i="2"/>
  <c r="H70" i="2" s="1"/>
  <c r="H9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45" i="2"/>
  <c r="C145" i="2"/>
  <c r="J130" i="2"/>
  <c r="I130" i="2"/>
  <c r="H130" i="2"/>
  <c r="G130" i="2"/>
  <c r="G131" i="2" s="1"/>
  <c r="F130" i="2"/>
  <c r="E130" i="2"/>
  <c r="E131" i="2" s="1"/>
  <c r="D130" i="2"/>
  <c r="D131" i="2" s="1"/>
  <c r="C130" i="2"/>
  <c r="B129" i="2"/>
  <c r="C44" i="2"/>
  <c r="J33" i="2"/>
  <c r="J34" i="2" s="1"/>
  <c r="I33" i="2"/>
  <c r="I34" i="2" s="1"/>
  <c r="H33" i="2"/>
  <c r="H34" i="2" s="1"/>
  <c r="G33" i="2"/>
  <c r="G34" i="2" s="1"/>
  <c r="F33" i="2"/>
  <c r="F34" i="2" s="1"/>
  <c r="E33" i="2"/>
  <c r="E34" i="2" s="1"/>
  <c r="D33" i="2"/>
  <c r="D34" i="2" s="1"/>
  <c r="C33" i="2"/>
  <c r="C34" i="2" s="1"/>
  <c r="F22" i="2"/>
  <c r="F74" i="2" s="1"/>
  <c r="D22" i="2"/>
  <c r="C22" i="2" s="1"/>
  <c r="J57" i="2" l="1"/>
  <c r="I83" i="2"/>
  <c r="I85" i="2" s="1"/>
  <c r="I91" i="2"/>
  <c r="I60" i="2"/>
  <c r="I70" i="2" s="1"/>
  <c r="H61" i="2"/>
  <c r="H71" i="2"/>
  <c r="E74" i="2"/>
  <c r="D74" i="2" s="1"/>
  <c r="C74" i="2" s="1"/>
  <c r="G74" i="2"/>
  <c r="H74" i="2" s="1"/>
  <c r="I74" i="2" s="1"/>
  <c r="J74" i="2" s="1"/>
  <c r="F82" i="2"/>
  <c r="F64" i="2"/>
  <c r="C139" i="2"/>
  <c r="C140" i="2" s="1"/>
  <c r="C131" i="2"/>
  <c r="E89" i="2"/>
  <c r="E88" i="2"/>
  <c r="I88" i="2"/>
  <c r="I89" i="2"/>
  <c r="F89" i="2"/>
  <c r="F88" i="2"/>
  <c r="J88" i="2"/>
  <c r="J89" i="2"/>
  <c r="G89" i="2"/>
  <c r="G88" i="2"/>
  <c r="C88" i="2"/>
  <c r="C89" i="2"/>
  <c r="D89" i="2"/>
  <c r="D88" i="2"/>
  <c r="H89" i="2"/>
  <c r="H88" i="2"/>
  <c r="H139" i="2"/>
  <c r="H131" i="2"/>
  <c r="I139" i="2"/>
  <c r="I131" i="2"/>
  <c r="D138" i="2"/>
  <c r="F139" i="2"/>
  <c r="F131" i="2"/>
  <c r="J139" i="2"/>
  <c r="J131" i="2"/>
  <c r="H138" i="2"/>
  <c r="G136" i="2"/>
  <c r="G139" i="2"/>
  <c r="E138" i="2"/>
  <c r="D136" i="2"/>
  <c r="D139" i="2"/>
  <c r="D140" i="2" s="1"/>
  <c r="F138" i="2"/>
  <c r="E136" i="2"/>
  <c r="E139" i="2"/>
  <c r="E140" i="2" s="1"/>
  <c r="C138" i="2"/>
  <c r="G138" i="2"/>
  <c r="F134" i="2"/>
  <c r="F135" i="2"/>
  <c r="J134" i="2"/>
  <c r="J135" i="2"/>
  <c r="I135" i="2"/>
  <c r="G134" i="2"/>
  <c r="G135" i="2"/>
  <c r="E135" i="2"/>
  <c r="H135" i="2"/>
  <c r="I136" i="2"/>
  <c r="H136" i="2"/>
  <c r="F136" i="2"/>
  <c r="J136" i="2"/>
  <c r="G22" i="2"/>
  <c r="H22" i="2" s="1"/>
  <c r="I22" i="2" s="1"/>
  <c r="J22" i="2" s="1"/>
  <c r="F49" i="2"/>
  <c r="F56" i="2"/>
  <c r="E56" i="2" s="1"/>
  <c r="D56" i="2" s="1"/>
  <c r="C56" i="2" s="1"/>
  <c r="H44" i="2"/>
  <c r="I44" i="2"/>
  <c r="J44" i="2"/>
  <c r="J143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E44" i="2"/>
  <c r="E143" i="2" s="1"/>
  <c r="C134" i="2"/>
  <c r="F44" i="2"/>
  <c r="C33" i="3"/>
  <c r="C51" i="3" s="1"/>
  <c r="C35" i="3"/>
  <c r="D134" i="2"/>
  <c r="G44" i="2"/>
  <c r="G148" i="2" s="1"/>
  <c r="F52" i="3"/>
  <c r="D52" i="3"/>
  <c r="D35" i="3"/>
  <c r="E52" i="3"/>
  <c r="D37" i="3"/>
  <c r="D33" i="3"/>
  <c r="H134" i="2"/>
  <c r="E134" i="2"/>
  <c r="I134" i="2"/>
  <c r="I138" i="2" l="1"/>
  <c r="I140" i="2" s="1"/>
  <c r="I71" i="2"/>
  <c r="I61" i="2"/>
  <c r="J83" i="2"/>
  <c r="J85" i="2" s="1"/>
  <c r="J91" i="2"/>
  <c r="J60" i="2"/>
  <c r="J142" i="2" s="1"/>
  <c r="J147" i="2" s="1"/>
  <c r="F143" i="2"/>
  <c r="F45" i="2"/>
  <c r="G45" i="2" s="1"/>
  <c r="H45" i="2" s="1"/>
  <c r="I45" i="2" s="1"/>
  <c r="J45" i="2" s="1"/>
  <c r="G64" i="2"/>
  <c r="H64" i="2" s="1"/>
  <c r="I64" i="2" s="1"/>
  <c r="J64" i="2" s="1"/>
  <c r="E64" i="2"/>
  <c r="D64" i="2" s="1"/>
  <c r="C64" i="2" s="1"/>
  <c r="E82" i="2"/>
  <c r="D82" i="2" s="1"/>
  <c r="C82" i="2" s="1"/>
  <c r="G82" i="2"/>
  <c r="H82" i="2" s="1"/>
  <c r="I82" i="2" s="1"/>
  <c r="J82" i="2" s="1"/>
  <c r="F51" i="3"/>
  <c r="H140" i="2"/>
  <c r="F140" i="2"/>
  <c r="G140" i="2"/>
  <c r="G142" i="2"/>
  <c r="G147" i="2" s="1"/>
  <c r="G149" i="2" s="1"/>
  <c r="F142" i="2"/>
  <c r="F147" i="2" s="1"/>
  <c r="G143" i="2"/>
  <c r="E49" i="2"/>
  <c r="D49" i="2" s="1"/>
  <c r="C49" i="2" s="1"/>
  <c r="G49" i="2"/>
  <c r="H49" i="2" s="1"/>
  <c r="I49" i="2" s="1"/>
  <c r="J49" i="2" s="1"/>
  <c r="F148" i="2"/>
  <c r="J148" i="2"/>
  <c r="I143" i="2"/>
  <c r="I142" i="2"/>
  <c r="I147" i="2" s="1"/>
  <c r="H143" i="2"/>
  <c r="H142" i="2"/>
  <c r="H147" i="2" s="1"/>
  <c r="I148" i="2"/>
  <c r="E148" i="2"/>
  <c r="H148" i="2"/>
  <c r="E142" i="2"/>
  <c r="E147" i="2" s="1"/>
  <c r="G51" i="3"/>
  <c r="E51" i="3"/>
  <c r="H51" i="3"/>
  <c r="G56" i="2"/>
  <c r="H56" i="2" s="1"/>
  <c r="I56" i="2" s="1"/>
  <c r="J56" i="2" s="1"/>
  <c r="D51" i="3"/>
  <c r="J61" i="2" l="1"/>
  <c r="J70" i="2"/>
  <c r="J71" i="2" s="1"/>
  <c r="J138" i="2"/>
  <c r="J140" i="2" s="1"/>
  <c r="F144" i="2"/>
  <c r="F145" i="2" s="1"/>
  <c r="F149" i="2"/>
  <c r="I144" i="2"/>
  <c r="I145" i="2" s="1"/>
  <c r="G144" i="2"/>
  <c r="G145" i="2" s="1"/>
  <c r="H149" i="2"/>
  <c r="E149" i="2"/>
  <c r="J149" i="2"/>
  <c r="I149" i="2"/>
  <c r="H144" i="2"/>
  <c r="H145" i="2" s="1"/>
  <c r="J144" i="2"/>
  <c r="J145" i="2" s="1"/>
  <c r="E144" i="2"/>
  <c r="E145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A369EEE6-F000-42E8-A4B9-3DC2CED4CA94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29E44944-B11D-445A-A508-242CFA74496E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3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4314413F-91C0-42EF-AAEE-8BB8DB5CF216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<sst xmlns="http://schemas.openxmlformats.org/spreadsheetml/2006/main" count="420" uniqueCount="209">
  <si>
    <t>Enrollment Pro Forma Fiscal Impact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</si>
  <si>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</si>
  <si>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</si>
  <si>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</si>
  <si>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</si>
  <si>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</si>
  <si>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</si>
  <si>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</si>
  <si>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</si>
  <si>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</si>
  <si>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</si>
  <si>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</si>
  <si>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</si>
  <si>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&lt;"Total Revenue" is fine</t>
  </si>
  <si>
    <t>Revenue per pupil, est'</t>
  </si>
  <si>
    <t>Expenses (actual, estimate)</t>
  </si>
  <si>
    <t>Instruction</t>
  </si>
  <si>
    <t>Admin &amp; support</t>
  </si>
  <si>
    <t>Other expenses</t>
  </si>
  <si>
    <t>&lt;"Total Expenses" is fine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</si>
  <si>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</si>
  <si>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</si>
  <si>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</si>
  <si>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</si>
  <si>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</si>
  <si>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</si>
  <si>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</si>
  <si>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</si>
  <si>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</si>
  <si>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</si>
  <si>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</si>
  <si>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</si>
  <si>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</si>
  <si>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</si>
  <si>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</si>
  <si>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</si>
  <si>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</si>
  <si>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</si>
  <si>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Overwrite the above test numbers</t>
  </si>
  <si>
    <t>Pro Forma Fiscal Impact Analysis</t>
  </si>
  <si>
    <t xml:space="preserve"> </t>
  </si>
  <si>
    <t>Pro Forma</t>
  </si>
  <si>
    <t>Final</t>
  </si>
  <si>
    <t>Notes</t>
  </si>
  <si>
    <t>Land acquired (acres)</t>
  </si>
  <si>
    <t>Land cost</t>
  </si>
  <si>
    <t>Land cost/sf</t>
  </si>
  <si>
    <t>Building Improvements (sf)</t>
  </si>
  <si>
    <t>Interest rate (%):</t>
  </si>
  <si>
    <t>Term of payoff (years)</t>
  </si>
  <si>
    <t>Asset value loan amount</t>
  </si>
  <si>
    <t>Professional fees</t>
  </si>
  <si>
    <t>Other (explain in notes)</t>
  </si>
  <si>
    <t>Loan(/Bond) Amount</t>
  </si>
  <si>
    <t>Estimated annual payments</t>
  </si>
  <si>
    <t>Initial project plan period</t>
  </si>
  <si>
    <t>Enter the applicable School Year Ending in E7</t>
  </si>
  <si>
    <t>Enrollment, Actual/Planned</t>
  </si>
  <si>
    <t>Revenues (actual/estimate)</t>
  </si>
  <si>
    <t>Expenses (actual/estimate) --(Facility leasing/acquisition, maintenance expenses below)</t>
  </si>
  <si>
    <t>Interest expenses</t>
  </si>
  <si>
    <t>Facility Acquisition</t>
  </si>
  <si>
    <t>Plan Yr 1</t>
  </si>
  <si>
    <t>Square Footage</t>
  </si>
  <si>
    <t>Current facility leased</t>
  </si>
  <si>
    <t>Proposed facility to acquire</t>
  </si>
  <si>
    <t>Change in square footage</t>
  </si>
  <si>
    <t>Payments /</t>
  </si>
  <si>
    <t>Lease/Mortgage Payments</t>
  </si>
  <si>
    <t>Savings (Cost increase)/yr</t>
  </si>
  <si>
    <t>Cumulative Savings (Costs)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</si>
  <si>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</si>
  <si>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</si>
  <si>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</si>
  <si>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</si>
  <si>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</si>
  <si>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</si>
  <si>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</si>
  <si>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</si>
  <si>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</si>
  <si>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</si>
  <si>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</si>
  <si>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</si>
  <si>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</si>
  <si>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</si>
  <si>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</si>
  <si>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</si>
  <si>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</si>
  <si>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</si>
  <si>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</si>
  <si>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</si>
  <si>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</si>
  <si>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</si>
  <si>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</si>
  <si>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</si>
  <si>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</si>
  <si>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</si>
  <si>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</si>
  <si>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</si>
  <si>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</si>
  <si>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</si>
  <si>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</si>
  <si>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</si>
  <si>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</si>
  <si>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</si>
  <si>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</si>
  <si>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</si>
  <si>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</si>
  <si>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</si>
  <si>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</si>
  <si>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</si>
  <si>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</si>
  <si>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</si>
  <si>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</si>
  <si>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</si>
  <si>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</si>
  <si>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</si>
  <si>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</si>
  <si>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</si>
  <si>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</si>
  <si>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</si>
  <si>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</si>
  <si>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</si>
  <si>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</si>
  <si>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</si>
  <si>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</si>
  <si>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</si>
  <si>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</si>
  <si>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</si>
  <si>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</si>
  <si>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</si>
  <si>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</si>
  <si>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</si>
  <si>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</si>
  <si>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</si>
  <si>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</si>
  <si>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</si>
  <si>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</si>
  <si>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</si>
  <si>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</si>
  <si>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</si>
  <si>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</si>
  <si>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</si>
  <si>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</si>
  <si>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</si>
  <si>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</si>
  <si>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</si>
  <si>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</si>
  <si>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</si>
  <si>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</si>
  <si>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</si>
  <si>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</si>
  <si>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</si>
  <si>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</si>
  <si>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</si>
  <si>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</si>
  <si>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</si>
  <si>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</si>
  <si>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</si>
  <si>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</si>
  <si>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</si>
  <si>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</si>
  <si>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</si>
  <si>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</si>
  <si>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</si>
  <si>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</si>
  <si>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</si>
  <si>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</si>
  <si>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</si>
  <si>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</si>
  <si>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</si>
  <si>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</si>
  <si>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</si>
  <si>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</si>
  <si>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</si>
  <si>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</si>
  <si>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</si>
  <si>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</si>
  <si>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</si>
  <si>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</si>
  <si>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</si>
  <si>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</si>
  <si>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</si>
  <si>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</si>
  <si>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</si>
  <si>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</si>
  <si>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</si>
  <si>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</si>
  <si>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</si>
  <si>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</si>
  <si>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</si>
  <si>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</si>
  <si>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</si>
  <si>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</si>
  <si>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</si>
  <si>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</si>
  <si>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</si>
  <si>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</si>
  <si>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Battle Born Academy</t>
  </si>
  <si>
    <t>Lease, not purchase</t>
  </si>
  <si>
    <t>2101 E. Owens Ave. (Owens Ave. and 21st St.)</t>
  </si>
  <si>
    <t>Federal Revenue</t>
  </si>
  <si>
    <t>Private Donations</t>
  </si>
  <si>
    <t>Personnel - Salaries</t>
  </si>
  <si>
    <t>Personnel - Benefits</t>
  </si>
  <si>
    <t>Professional and Technical Services</t>
  </si>
  <si>
    <t>Other Services</t>
  </si>
  <si>
    <t>Supplies</t>
  </si>
  <si>
    <t>Debt Service and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</si>
</sst>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0.00%;[Red]\(0.00%\);&quot;-%&quot;"/>
    <numFmt numFmtId="180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167" fontId="6" fillId="0" borderId="0" xfId="1" applyNumberFormat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0" fontId="25" fillId="0" borderId="0" xfId="1" quotePrefix="1" applyFont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64" fontId="48" fillId="9" borderId="0" xfId="1" applyNumberFormat="1" applyFont="1" applyFill="1"/>
    <xf numFmtId="164" fontId="6" fillId="9" borderId="0" xfId="1" applyNumberFormat="1" applyFill="1"/>
    <xf numFmtId="164" fontId="49" fillId="0" borderId="0" xfId="1" applyNumberFormat="1" applyFont="1"/>
    <xf numFmtId="164" fontId="17" fillId="3" borderId="39" xfId="5" applyNumberFormat="1" applyFont="1" applyFill="1" applyBorder="1"/>
    <xf numFmtId="0" fontId="45" fillId="0" borderId="3" xfId="1" applyFont="1" applyBorder="1" applyAlignment="1">
      <alignment horizontal="right"/>
    </xf>
    <xf numFmtId="0" fontId="44" fillId="3" borderId="1" xfId="1" applyFont="1" applyFill="1" applyBorder="1"/>
    <xf numFmtId="167" fontId="44" fillId="3" borderId="1" xfId="1" applyNumberFormat="1" applyFont="1" applyFill="1" applyBorder="1"/>
    <xf numFmtId="0" fontId="44" fillId="3" borderId="2" xfId="1" applyFont="1" applyFill="1" applyBorder="1"/>
    <xf numFmtId="0" fontId="45" fillId="0" borderId="3" xfId="1" applyFont="1" applyBorder="1" applyAlignment="1">
      <alignment horizontal="left" indent="1"/>
    </xf>
    <xf numFmtId="165" fontId="6" fillId="0" borderId="0" xfId="1" applyNumberFormat="1" applyAlignment="1">
      <alignment horizontal="right"/>
    </xf>
    <xf numFmtId="164" fontId="6" fillId="10" borderId="0" xfId="1" applyNumberFormat="1" applyFill="1"/>
    <xf numFmtId="0" fontId="44" fillId="3" borderId="40" xfId="1" applyFont="1" applyFill="1" applyBorder="1"/>
    <xf numFmtId="179" fontId="44" fillId="3" borderId="1" xfId="1" applyNumberFormat="1" applyFont="1" applyFill="1" applyBorder="1"/>
    <xf numFmtId="180" fontId="44" fillId="3" borderId="1" xfId="1" applyNumberFormat="1" applyFont="1" applyFill="1" applyBorder="1"/>
    <xf numFmtId="0" fontId="44" fillId="3" borderId="5" xfId="1" applyFont="1" applyFill="1" applyBorder="1"/>
    <xf numFmtId="0" fontId="50" fillId="0" borderId="0" xfId="1" applyFont="1"/>
    <xf numFmtId="0" fontId="44" fillId="3" borderId="40" xfId="1" applyFont="1" applyFill="1" applyBorder="1"/>
    <xf numFmtId="0" fontId="44" fillId="3" borderId="5" xfId="1" applyFont="1" applyFill="1" applyBorder="1"/>
    <xf numFmtId="0" fontId="44" fillId="3" borderId="2" xfId="1" applyFont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  <xf numFmtId="167" fontId="17" fillId="3" borderId="5" xfId="1" applyNumberFormat="1" applyFont="1" applyFill="1" applyBorder="1"/>
    <xf numFmtId="167" fontId="17" fillId="3" borderId="5" xfId="6" applyNumberFormat="1" applyFont="1" applyFill="1" applyBorder="1"/>
    <xf numFmtId="164" fontId="17" fillId="3" borderId="0" xfId="1" applyNumberFormat="1" applyFont="1" applyFill="1" applyBorder="1"/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D2AB-9787-47B2-A4B8-9384E42F2113}">
  <sheetPr>
    <tabColor rgb="FF92D050"/>
  </sheetPr>
  <dimension ref="A1:R70"/>
  <sheetViews>
    <sheetView showGridLines="0" tabSelected="1" topLeftCell="A19" zoomScale="130" zoomScaleNormal="130" zoomScaleSheetLayoutView="100" workbookViewId="0">
      <selection activeCell="O31" sqref="O31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6384" width="9.140625" style="38"/>
  </cols>
  <sheetData>
    <row r="1" spans="1:18" ht="15.75" x14ac:dyDescent="0.25">
      <c r="A1" s="223" t="s">
        <v>0</v>
      </c>
      <c r="B1" s="224"/>
      <c r="C1" s="224"/>
      <c r="D1" s="224"/>
      <c r="F1" s="39" t="s">
        <v>200</v>
      </c>
      <c r="G1" s="39"/>
      <c r="H1" s="39"/>
      <c r="I1" s="39"/>
      <c r="J1" s="39"/>
    </row>
    <row r="2" spans="1:18" ht="15.75" x14ac:dyDescent="0.25">
      <c r="A2" s="156" t="s">
        <v>198</v>
      </c>
      <c r="B2" s="157"/>
      <c r="C2" s="157"/>
      <c r="D2" s="157"/>
      <c r="F2" s="42" t="s">
        <v>1</v>
      </c>
      <c r="G2" s="42"/>
      <c r="H2" s="42"/>
    </row>
    <row r="3" spans="1:18" x14ac:dyDescent="0.2">
      <c r="A3" s="43" t="s">
        <v>2</v>
      </c>
      <c r="I3" s="227" t="s">
        <v>3</v>
      </c>
      <c r="J3" s="226"/>
    </row>
    <row r="4" spans="1:18" x14ac:dyDescent="0.2">
      <c r="A4" s="44" t="s">
        <v>4</v>
      </c>
    </row>
    <row r="5" spans="1:18" x14ac:dyDescent="0.2">
      <c r="A5" s="45"/>
      <c r="C5" s="178"/>
      <c r="D5" s="178"/>
      <c r="E5" s="179" t="s">
        <v>5</v>
      </c>
      <c r="F5" s="180" t="s">
        <v>6</v>
      </c>
      <c r="G5" s="181"/>
      <c r="H5" s="181"/>
      <c r="I5" s="181"/>
      <c r="J5" s="181"/>
      <c r="L5" s="177"/>
    </row>
    <row r="6" spans="1:18" x14ac:dyDescent="0.2">
      <c r="A6" s="46"/>
      <c r="B6" s="47"/>
      <c r="C6" s="47"/>
      <c r="D6" s="47"/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/>
      <c r="L6" s="177"/>
      <c r="M6" s="46"/>
      <c r="N6" s="46"/>
      <c r="O6" s="46"/>
      <c r="P6" s="46"/>
      <c r="Q6" s="46"/>
      <c r="R6" s="46"/>
    </row>
    <row r="7" spans="1:18" x14ac:dyDescent="0.2">
      <c r="A7" s="46"/>
      <c r="B7" s="49"/>
      <c r="C7" s="50">
        <f>+D7-1</f>
        <v>2021</v>
      </c>
      <c r="D7" s="50">
        <f>+E7-1</f>
        <v>2022</v>
      </c>
      <c r="E7" s="51">
        <v>2023</v>
      </c>
      <c r="F7" s="225">
        <f t="shared" ref="F7:J7" si="0">1+E7</f>
        <v>2024</v>
      </c>
      <c r="G7" s="225">
        <f t="shared" si="0"/>
        <v>2025</v>
      </c>
      <c r="H7" s="225">
        <f t="shared" si="0"/>
        <v>2026</v>
      </c>
      <c r="I7" s="225">
        <f t="shared" si="0"/>
        <v>2027</v>
      </c>
      <c r="J7" s="225">
        <f t="shared" si="0"/>
        <v>2028</v>
      </c>
      <c r="K7" s="42"/>
      <c r="L7" s="177"/>
      <c r="M7" s="46"/>
      <c r="N7" s="46"/>
      <c r="O7" s="46"/>
      <c r="P7" s="46"/>
      <c r="Q7" s="46"/>
      <c r="R7" s="46"/>
    </row>
    <row r="8" spans="1:18" x14ac:dyDescent="0.2">
      <c r="A8" s="46"/>
      <c r="B8" s="47"/>
      <c r="C8" s="47"/>
      <c r="D8" s="47"/>
      <c r="E8" s="47"/>
      <c r="F8" s="47"/>
      <c r="G8" s="47"/>
      <c r="H8" s="47"/>
      <c r="I8" s="47"/>
      <c r="J8" s="47"/>
      <c r="K8" s="42"/>
      <c r="L8" s="177"/>
      <c r="M8" s="46"/>
      <c r="N8" s="46"/>
      <c r="O8" s="46"/>
      <c r="P8" s="46"/>
      <c r="Q8" s="46"/>
      <c r="R8" s="46"/>
    </row>
    <row r="9" spans="1:18" x14ac:dyDescent="0.2">
      <c r="A9" s="46"/>
      <c r="B9" s="175" t="s">
        <v>7</v>
      </c>
      <c r="C9" s="50"/>
      <c r="D9" s="50"/>
      <c r="E9" s="50"/>
      <c r="F9" s="50"/>
      <c r="G9" s="50"/>
      <c r="H9" s="50"/>
      <c r="I9" s="50"/>
      <c r="J9" s="50"/>
      <c r="K9" s="42"/>
      <c r="L9" s="177"/>
      <c r="M9" s="46"/>
      <c r="N9" s="46"/>
      <c r="O9" s="46"/>
      <c r="P9" s="46"/>
      <c r="Q9" s="46"/>
      <c r="R9" s="46"/>
    </row>
    <row r="10" spans="1:18" x14ac:dyDescent="0.2">
      <c r="A10" s="46"/>
      <c r="B10" s="52" t="s">
        <v>8</v>
      </c>
      <c r="C10" s="53"/>
      <c r="D10" s="53"/>
      <c r="E10" s="53">
        <v>140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42"/>
      <c r="L10" s="177"/>
      <c r="M10" s="46"/>
      <c r="N10" s="46"/>
      <c r="O10" s="46"/>
      <c r="P10" s="46"/>
      <c r="Q10" s="46"/>
      <c r="R10" s="46"/>
    </row>
    <row r="11" spans="1:18" x14ac:dyDescent="0.2">
      <c r="A11" s="46"/>
      <c r="B11" s="54" t="s">
        <v>9</v>
      </c>
      <c r="C11" s="55"/>
      <c r="D11" s="55"/>
      <c r="E11" s="55"/>
      <c r="F11" s="54">
        <v>300</v>
      </c>
      <c r="G11" s="54">
        <v>366</v>
      </c>
      <c r="H11" s="54">
        <v>396</v>
      </c>
      <c r="I11" s="54">
        <v>426</v>
      </c>
      <c r="J11" s="54">
        <v>456</v>
      </c>
      <c r="K11" s="42"/>
      <c r="L11" s="177"/>
      <c r="M11" s="46"/>
      <c r="N11" s="46"/>
      <c r="O11" s="46"/>
      <c r="P11" s="46"/>
      <c r="Q11" s="46"/>
      <c r="R11" s="46"/>
    </row>
    <row r="12" spans="1:18" x14ac:dyDescent="0.2">
      <c r="A12" s="46"/>
      <c r="B12" s="56" t="s">
        <v>10</v>
      </c>
      <c r="C12" s="57">
        <f>IF(C10&gt;0,C10-C11,0)</f>
        <v>0</v>
      </c>
      <c r="D12" s="57">
        <f t="shared" ref="D12:J12" si="1">IF(D10&gt;0,D10-D11,0)</f>
        <v>0</v>
      </c>
      <c r="E12" s="57">
        <f t="shared" si="1"/>
        <v>140</v>
      </c>
      <c r="F12" s="57">
        <f t="shared" si="1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  <c r="K12" s="42"/>
      <c r="L12" s="177"/>
      <c r="M12" s="46"/>
      <c r="N12" s="46"/>
      <c r="O12" s="46"/>
      <c r="P12" s="46"/>
      <c r="Q12" s="46"/>
      <c r="R12" s="46"/>
    </row>
    <row r="13" spans="1:18" x14ac:dyDescent="0.2">
      <c r="A13" s="46"/>
      <c r="B13" s="47"/>
      <c r="C13" s="192"/>
      <c r="D13" s="192"/>
      <c r="E13" s="192"/>
      <c r="F13" s="192"/>
      <c r="G13" s="192"/>
      <c r="H13" s="192"/>
      <c r="I13" s="192"/>
      <c r="J13" s="192"/>
      <c r="K13" s="42"/>
      <c r="L13" s="177"/>
      <c r="M13" s="46"/>
      <c r="N13" s="46"/>
      <c r="O13" s="46"/>
      <c r="P13" s="46"/>
      <c r="Q13" s="46"/>
      <c r="R13" s="46"/>
    </row>
    <row r="14" spans="1:18" x14ac:dyDescent="0.2">
      <c r="A14" s="46"/>
      <c r="B14" s="175" t="s">
        <v>11</v>
      </c>
      <c r="C14" s="50"/>
      <c r="D14" s="50"/>
      <c r="E14" s="50"/>
      <c r="F14" s="50"/>
      <c r="G14" s="50"/>
      <c r="H14" s="50"/>
      <c r="I14" s="50"/>
      <c r="J14" s="50"/>
      <c r="K14" s="42"/>
      <c r="L14" s="177"/>
      <c r="M14" s="46"/>
      <c r="N14" s="46"/>
      <c r="O14" s="46"/>
      <c r="P14" s="46"/>
      <c r="Q14" s="46"/>
      <c r="R14" s="46"/>
    </row>
    <row r="15" spans="1:18" x14ac:dyDescent="0.2">
      <c r="A15" s="46"/>
      <c r="B15" s="58"/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42"/>
      <c r="L15" s="177"/>
      <c r="M15" s="46"/>
      <c r="N15" s="46"/>
      <c r="O15" s="46"/>
      <c r="P15" s="46"/>
      <c r="Q15" s="46"/>
      <c r="R15" s="46"/>
    </row>
    <row r="16" spans="1:18" x14ac:dyDescent="0.2">
      <c r="A16" s="46"/>
      <c r="B16" s="266" t="s">
        <v>202</v>
      </c>
      <c r="C16" s="267"/>
      <c r="D16" s="267"/>
      <c r="E16" s="267"/>
      <c r="F16" s="267">
        <v>10000</v>
      </c>
      <c r="G16" s="267">
        <v>10000</v>
      </c>
      <c r="H16" s="267">
        <v>10000</v>
      </c>
      <c r="I16" s="267">
        <v>10000</v>
      </c>
      <c r="J16" s="267">
        <v>10000</v>
      </c>
      <c r="K16" s="42"/>
      <c r="L16" s="177"/>
      <c r="M16" s="46"/>
      <c r="N16" s="46"/>
      <c r="O16" s="46"/>
      <c r="P16" s="46"/>
      <c r="Q16" s="46"/>
      <c r="R16" s="46"/>
    </row>
    <row r="17" spans="1:18" x14ac:dyDescent="0.2">
      <c r="A17" s="46"/>
      <c r="B17" s="59" t="s">
        <v>201</v>
      </c>
      <c r="C17" s="185">
        <v>0</v>
      </c>
      <c r="D17" s="185">
        <v>0</v>
      </c>
      <c r="E17" s="185">
        <v>0</v>
      </c>
      <c r="F17" s="185">
        <v>668381</v>
      </c>
      <c r="G17" s="185">
        <v>642699</v>
      </c>
      <c r="H17" s="185">
        <v>695752</v>
      </c>
      <c r="I17" s="185">
        <v>748805</v>
      </c>
      <c r="J17" s="185">
        <v>801858</v>
      </c>
      <c r="K17" s="42"/>
      <c r="L17" s="177"/>
      <c r="M17" s="46"/>
      <c r="N17" s="46"/>
      <c r="O17" s="46"/>
      <c r="P17" s="46"/>
      <c r="Q17" s="46"/>
      <c r="R17" s="46"/>
    </row>
    <row r="18" spans="1:18" x14ac:dyDescent="0.2">
      <c r="A18" s="46"/>
      <c r="B18" s="60" t="s">
        <v>12</v>
      </c>
      <c r="C18" s="186">
        <f>7300*C11</f>
        <v>0</v>
      </c>
      <c r="D18" s="186">
        <f>7300*D11</f>
        <v>0</v>
      </c>
      <c r="E18" s="186">
        <f>7300*E11</f>
        <v>0</v>
      </c>
      <c r="F18" s="186">
        <v>2487067</v>
      </c>
      <c r="G18" s="186">
        <v>3338465</v>
      </c>
      <c r="H18" s="186">
        <v>3684725</v>
      </c>
      <c r="I18" s="186">
        <v>3970460</v>
      </c>
      <c r="J18" s="186">
        <v>4256228</v>
      </c>
      <c r="K18" s="42"/>
      <c r="L18" s="191" t="s">
        <v>13</v>
      </c>
      <c r="M18" s="46"/>
      <c r="N18" s="46"/>
      <c r="O18" s="46"/>
      <c r="P18" s="46"/>
      <c r="Q18" s="46"/>
      <c r="R18" s="46"/>
    </row>
    <row r="19" spans="1:18" x14ac:dyDescent="0.2">
      <c r="A19" s="46"/>
      <c r="B19" s="56" t="s">
        <v>12</v>
      </c>
      <c r="C19" s="82">
        <f>SUM(C15:C18)</f>
        <v>0</v>
      </c>
      <c r="D19" s="82">
        <f t="shared" ref="D19:J19" si="2">SUM(D15:D18)</f>
        <v>0</v>
      </c>
      <c r="E19" s="82">
        <f t="shared" si="2"/>
        <v>0</v>
      </c>
      <c r="F19" s="82">
        <f t="shared" si="2"/>
        <v>3165448</v>
      </c>
      <c r="G19" s="82">
        <f t="shared" si="2"/>
        <v>3991164</v>
      </c>
      <c r="H19" s="82">
        <f t="shared" si="2"/>
        <v>4390477</v>
      </c>
      <c r="I19" s="82">
        <f t="shared" si="2"/>
        <v>4729265</v>
      </c>
      <c r="J19" s="82">
        <f t="shared" si="2"/>
        <v>5068086</v>
      </c>
      <c r="K19" s="42"/>
      <c r="L19" s="177"/>
      <c r="M19" s="46"/>
      <c r="N19" s="46"/>
      <c r="O19" s="46"/>
      <c r="P19" s="46"/>
      <c r="Q19" s="46"/>
      <c r="R19" s="46"/>
    </row>
    <row r="20" spans="1:18" x14ac:dyDescent="0.2">
      <c r="A20" s="46"/>
      <c r="B20" s="193" t="s">
        <v>14</v>
      </c>
      <c r="C20" s="194" t="e">
        <f t="shared" ref="C20:E20" si="3">IF(C$10&gt;0,C19/C$10,C19/C$11)</f>
        <v>#DIV/0!</v>
      </c>
      <c r="D20" s="194" t="e">
        <f t="shared" si="3"/>
        <v>#DIV/0!</v>
      </c>
      <c r="E20" s="194">
        <f t="shared" si="3"/>
        <v>0</v>
      </c>
      <c r="F20" s="194">
        <f>IF(F$10&gt;0,F19/F$10,F19/F$11)</f>
        <v>10551.493333333334</v>
      </c>
      <c r="G20" s="194">
        <f t="shared" ref="G20:J20" si="4">IF(G$10&gt;0,G19/G$10,G19/G$11)</f>
        <v>10904.819672131147</v>
      </c>
      <c r="H20" s="194">
        <f t="shared" si="4"/>
        <v>11087.063131313131</v>
      </c>
      <c r="I20" s="194">
        <f t="shared" si="4"/>
        <v>11101.56103286385</v>
      </c>
      <c r="J20" s="194">
        <f t="shared" si="4"/>
        <v>11114.223684210527</v>
      </c>
      <c r="K20" s="42"/>
      <c r="L20" s="177"/>
      <c r="M20" s="46"/>
      <c r="N20" s="46"/>
      <c r="O20" s="46"/>
      <c r="P20" s="46"/>
      <c r="Q20" s="46"/>
      <c r="R20" s="46"/>
    </row>
    <row r="21" spans="1:18" x14ac:dyDescent="0.2">
      <c r="A21" s="46"/>
      <c r="B21" s="61"/>
      <c r="C21" s="182"/>
      <c r="D21" s="182"/>
      <c r="E21" s="182"/>
      <c r="F21" s="182"/>
      <c r="G21" s="182"/>
      <c r="H21" s="182"/>
      <c r="I21" s="182"/>
      <c r="J21" s="182"/>
      <c r="K21" s="42"/>
      <c r="L21" s="177"/>
      <c r="M21" s="46"/>
      <c r="N21" s="46"/>
      <c r="O21" s="46"/>
      <c r="P21" s="46"/>
      <c r="Q21" s="46"/>
      <c r="R21" s="46"/>
    </row>
    <row r="22" spans="1:18" x14ac:dyDescent="0.2">
      <c r="A22" s="46"/>
      <c r="B22" s="175" t="s">
        <v>15</v>
      </c>
      <c r="C22" s="50"/>
      <c r="D22" s="50"/>
      <c r="E22" s="50"/>
      <c r="F22" s="50"/>
      <c r="G22" s="50"/>
      <c r="H22" s="50"/>
      <c r="I22" s="50"/>
      <c r="J22" s="50"/>
      <c r="K22" s="42"/>
      <c r="L22" s="177"/>
      <c r="M22" s="46"/>
      <c r="N22" s="46"/>
      <c r="O22" s="46"/>
      <c r="P22" s="46"/>
      <c r="Q22" s="46"/>
      <c r="R22" s="46"/>
    </row>
    <row r="23" spans="1:18" x14ac:dyDescent="0.2">
      <c r="A23" s="46"/>
      <c r="B23" s="62" t="s">
        <v>203</v>
      </c>
      <c r="C23" s="150">
        <v>0</v>
      </c>
      <c r="D23" s="150">
        <v>0</v>
      </c>
      <c r="E23" s="151">
        <v>0</v>
      </c>
      <c r="F23" s="151">
        <v>1219356</v>
      </c>
      <c r="G23" s="151">
        <v>1697243</v>
      </c>
      <c r="H23" s="151">
        <v>1970188</v>
      </c>
      <c r="I23" s="151">
        <v>2131792</v>
      </c>
      <c r="J23" s="151">
        <v>2236428</v>
      </c>
      <c r="K23" s="42"/>
      <c r="L23" s="177"/>
      <c r="M23" s="46"/>
      <c r="N23" s="46"/>
      <c r="O23" s="46"/>
      <c r="P23" s="46"/>
      <c r="Q23" s="46"/>
      <c r="R23" s="46"/>
    </row>
    <row r="24" spans="1:18" x14ac:dyDescent="0.2">
      <c r="A24" s="46"/>
      <c r="B24" s="63" t="s">
        <v>204</v>
      </c>
      <c r="C24" s="183">
        <v>0</v>
      </c>
      <c r="D24" s="183">
        <v>0</v>
      </c>
      <c r="E24" s="183">
        <v>0</v>
      </c>
      <c r="F24" s="183">
        <v>379283</v>
      </c>
      <c r="G24" s="183">
        <v>535582</v>
      </c>
      <c r="H24" s="183">
        <v>626401</v>
      </c>
      <c r="I24" s="183">
        <v>682481</v>
      </c>
      <c r="J24" s="183">
        <v>720892</v>
      </c>
      <c r="K24" s="42"/>
      <c r="L24" s="177"/>
      <c r="M24" s="46"/>
      <c r="N24" s="46"/>
      <c r="O24" s="46"/>
      <c r="P24" s="46"/>
      <c r="Q24" s="46"/>
      <c r="R24" s="46"/>
    </row>
    <row r="25" spans="1:18" x14ac:dyDescent="0.2">
      <c r="A25" s="46"/>
      <c r="B25" s="268" t="s">
        <v>205</v>
      </c>
      <c r="C25" s="236"/>
      <c r="D25" s="236"/>
      <c r="E25" s="236"/>
      <c r="F25" s="236">
        <v>300470</v>
      </c>
      <c r="G25" s="236">
        <v>343831</v>
      </c>
      <c r="H25" s="236">
        <v>368864</v>
      </c>
      <c r="I25" s="236">
        <v>392075</v>
      </c>
      <c r="J25" s="236">
        <v>415992</v>
      </c>
      <c r="K25" s="42"/>
      <c r="L25" s="177"/>
      <c r="M25" s="46"/>
      <c r="N25" s="46"/>
      <c r="O25" s="46"/>
      <c r="P25" s="46"/>
      <c r="Q25" s="46"/>
      <c r="R25" s="46"/>
    </row>
    <row r="26" spans="1:18" x14ac:dyDescent="0.2">
      <c r="A26" s="46"/>
      <c r="B26" s="268" t="s">
        <v>206</v>
      </c>
      <c r="C26" s="236"/>
      <c r="D26" s="236"/>
      <c r="E26" s="236"/>
      <c r="F26" s="236">
        <v>88716</v>
      </c>
      <c r="G26" s="236">
        <v>102374</v>
      </c>
      <c r="H26" s="236">
        <v>112818</v>
      </c>
      <c r="I26" s="236">
        <v>124522</v>
      </c>
      <c r="J26" s="236">
        <v>137727</v>
      </c>
      <c r="K26" s="42"/>
      <c r="L26" s="177"/>
      <c r="M26" s="46"/>
      <c r="N26" s="46"/>
      <c r="O26" s="46"/>
      <c r="P26" s="46"/>
      <c r="Q26" s="46"/>
      <c r="R26" s="46"/>
    </row>
    <row r="27" spans="1:18" x14ac:dyDescent="0.2">
      <c r="A27" s="46"/>
      <c r="B27" s="268" t="s">
        <v>207</v>
      </c>
      <c r="C27" s="236"/>
      <c r="D27" s="236"/>
      <c r="E27" s="236"/>
      <c r="F27" s="236">
        <v>518436</v>
      </c>
      <c r="G27" s="236">
        <v>472948</v>
      </c>
      <c r="H27" s="236">
        <v>479770</v>
      </c>
      <c r="I27" s="236">
        <v>512840</v>
      </c>
      <c r="J27" s="236">
        <v>544675</v>
      </c>
      <c r="K27" s="42"/>
      <c r="L27" s="177"/>
      <c r="M27" s="46"/>
      <c r="N27" s="46"/>
      <c r="O27" s="46"/>
      <c r="P27" s="46"/>
      <c r="Q27" s="46"/>
      <c r="R27" s="46"/>
    </row>
    <row r="28" spans="1:18" x14ac:dyDescent="0.2">
      <c r="A28" s="46"/>
      <c r="B28" s="268" t="s">
        <v>208</v>
      </c>
      <c r="C28" s="236"/>
      <c r="D28" s="236"/>
      <c r="E28" s="236"/>
      <c r="F28" s="236">
        <v>18300</v>
      </c>
      <c r="G28" s="236"/>
      <c r="H28" s="236"/>
      <c r="I28" s="236"/>
      <c r="J28" s="236"/>
      <c r="K28" s="42"/>
      <c r="L28" s="177"/>
      <c r="M28" s="46"/>
      <c r="N28" s="46"/>
      <c r="O28" s="46"/>
      <c r="P28" s="46"/>
      <c r="Q28" s="46"/>
      <c r="R28" s="46"/>
    </row>
    <row r="29" spans="1:18" x14ac:dyDescent="0.2">
      <c r="A29" s="46"/>
      <c r="B29" s="64" t="s">
        <v>18</v>
      </c>
      <c r="C29" s="184"/>
      <c r="D29" s="184"/>
      <c r="E29" s="184"/>
      <c r="F29" s="184"/>
      <c r="G29" s="184"/>
      <c r="H29" s="184"/>
      <c r="I29" s="184"/>
      <c r="J29" s="184"/>
      <c r="K29" s="42"/>
      <c r="L29" s="191" t="s">
        <v>19</v>
      </c>
      <c r="M29" s="46"/>
      <c r="N29" s="46"/>
      <c r="O29" s="46"/>
      <c r="P29" s="46"/>
      <c r="Q29" s="46"/>
      <c r="R29" s="46"/>
    </row>
    <row r="30" spans="1:18" x14ac:dyDescent="0.2">
      <c r="A30" s="46"/>
      <c r="B30" s="47" t="s">
        <v>20</v>
      </c>
      <c r="C30" s="72">
        <f>SUM(C23:C29)</f>
        <v>0</v>
      </c>
      <c r="D30" s="72">
        <f>SUM(D23:D29)</f>
        <v>0</v>
      </c>
      <c r="E30" s="72">
        <f t="shared" ref="E30:J30" si="5">SUM(E23:E29)</f>
        <v>0</v>
      </c>
      <c r="F30" s="72">
        <f t="shared" si="5"/>
        <v>2524561</v>
      </c>
      <c r="G30" s="72">
        <f t="shared" si="5"/>
        <v>3151978</v>
      </c>
      <c r="H30" s="72">
        <f t="shared" si="5"/>
        <v>3558041</v>
      </c>
      <c r="I30" s="72">
        <f t="shared" si="5"/>
        <v>3843710</v>
      </c>
      <c r="J30" s="72">
        <f t="shared" si="5"/>
        <v>4055714</v>
      </c>
      <c r="K30" s="42"/>
      <c r="L30" s="177"/>
      <c r="M30" s="46"/>
      <c r="N30" s="46"/>
      <c r="O30" s="46"/>
      <c r="P30" s="46"/>
      <c r="Q30" s="46"/>
      <c r="R30" s="46"/>
    </row>
    <row r="31" spans="1:18" x14ac:dyDescent="0.2">
      <c r="A31" s="46"/>
      <c r="B31" s="193" t="s">
        <v>21</v>
      </c>
      <c r="C31" s="194" t="e">
        <f t="shared" ref="C31" si="6">IF(C$10&gt;0,C30/C$10,C30/C$11)</f>
        <v>#DIV/0!</v>
      </c>
      <c r="D31" s="194" t="e">
        <f t="shared" ref="D31" si="7">IF(D$10&gt;0,D30/D$10,D30/D$11)</f>
        <v>#DIV/0!</v>
      </c>
      <c r="E31" s="194">
        <f t="shared" ref="E31" si="8">IF(E$10&gt;0,E30/E$10,E30/E$11)</f>
        <v>0</v>
      </c>
      <c r="F31" s="194">
        <f>IF(F$10&gt;0,F30/F$10,F30/F$11)</f>
        <v>8415.2033333333329</v>
      </c>
      <c r="G31" s="194">
        <f t="shared" ref="G31" si="9">IF(G$10&gt;0,G30/G$10,G30/G$11)</f>
        <v>8611.9617486338793</v>
      </c>
      <c r="H31" s="194">
        <f t="shared" ref="H31" si="10">IF(H$10&gt;0,H30/H$10,H30/H$11)</f>
        <v>8984.9520202020194</v>
      </c>
      <c r="I31" s="194">
        <f t="shared" ref="I31" si="11">IF(I$10&gt;0,I30/I$10,I30/I$11)</f>
        <v>9022.7934272300463</v>
      </c>
      <c r="J31" s="194">
        <f t="shared" ref="J31" si="12">IF(J$10&gt;0,J30/J$10,J30/J$11)</f>
        <v>8894.1096491228072</v>
      </c>
      <c r="K31" s="42"/>
      <c r="L31" s="177"/>
      <c r="M31" s="46"/>
      <c r="N31" s="46"/>
      <c r="O31" s="46"/>
      <c r="P31" s="46"/>
      <c r="Q31" s="46"/>
      <c r="R31" s="46"/>
    </row>
    <row r="32" spans="1:18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177"/>
      <c r="M32" s="46"/>
      <c r="N32" s="46"/>
      <c r="O32" s="46"/>
      <c r="P32" s="46"/>
      <c r="Q32" s="46"/>
      <c r="R32" s="46"/>
    </row>
    <row r="33" spans="1:18" ht="13.5" thickBot="1" x14ac:dyDescent="0.25">
      <c r="A33" s="46"/>
      <c r="B33" s="188" t="s">
        <v>22</v>
      </c>
      <c r="C33" s="189">
        <f>SUM(C15:C18)-C30</f>
        <v>0</v>
      </c>
      <c r="D33" s="189">
        <f>SUM(D15:D18)-D30</f>
        <v>0</v>
      </c>
      <c r="E33" s="189">
        <f>SUM(E15:E18)-E30</f>
        <v>0</v>
      </c>
      <c r="F33" s="189">
        <f>SUM(F15:F18)-F30</f>
        <v>640887</v>
      </c>
      <c r="G33" s="189">
        <f>SUM(G15:G18)-G30</f>
        <v>839186</v>
      </c>
      <c r="H33" s="189">
        <f>SUM(H15:H18)-H30</f>
        <v>832436</v>
      </c>
      <c r="I33" s="189">
        <f>SUM(I15:I18)-I30</f>
        <v>885555</v>
      </c>
      <c r="J33" s="189">
        <f>SUM(J15:J18)-J30</f>
        <v>1012372</v>
      </c>
      <c r="K33" s="42"/>
      <c r="L33" s="177"/>
      <c r="M33" s="46"/>
      <c r="N33" s="46"/>
      <c r="O33" s="46"/>
      <c r="P33" s="46"/>
      <c r="Q33" s="46"/>
      <c r="R33" s="46"/>
    </row>
    <row r="34" spans="1:18" ht="13.5" thickTop="1" x14ac:dyDescent="0.2">
      <c r="A34" s="46"/>
      <c r="B34" s="67" t="s">
        <v>23</v>
      </c>
      <c r="C34" s="47"/>
      <c r="D34" s="47"/>
      <c r="E34" s="47"/>
      <c r="F34" s="72">
        <f>+F33+E34</f>
        <v>640887</v>
      </c>
      <c r="G34" s="72">
        <f t="shared" ref="G34:J34" si="13">+G33+F34</f>
        <v>1480073</v>
      </c>
      <c r="H34" s="72">
        <f t="shared" si="13"/>
        <v>2312509</v>
      </c>
      <c r="I34" s="72">
        <f t="shared" si="13"/>
        <v>3198064</v>
      </c>
      <c r="J34" s="72">
        <f t="shared" si="13"/>
        <v>4210436</v>
      </c>
      <c r="K34" s="42"/>
      <c r="L34" s="177"/>
      <c r="M34" s="46"/>
      <c r="N34" s="46"/>
      <c r="O34" s="46"/>
      <c r="P34" s="46"/>
      <c r="Q34" s="46"/>
      <c r="R34" s="46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7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24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25</v>
      </c>
      <c r="C42" s="72">
        <f t="shared" ref="C42:J42" si="14">SUM(C37:C41)</f>
        <v>0</v>
      </c>
      <c r="D42" s="72">
        <f t="shared" si="14"/>
        <v>0</v>
      </c>
      <c r="E42" s="72">
        <f t="shared" si="14"/>
        <v>0</v>
      </c>
      <c r="F42" s="72">
        <f t="shared" si="14"/>
        <v>300000</v>
      </c>
      <c r="G42" s="72">
        <f t="shared" si="14"/>
        <v>310000</v>
      </c>
      <c r="H42" s="72">
        <f t="shared" si="14"/>
        <v>320000</v>
      </c>
      <c r="I42" s="72">
        <f t="shared" si="14"/>
        <v>330000</v>
      </c>
      <c r="J42" s="72">
        <f t="shared" si="14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26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27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81" t="s">
        <v>28</v>
      </c>
      <c r="C46" s="146" t="e">
        <f>+#REF!*C19</f>
        <v>#REF!</v>
      </c>
      <c r="D46" s="146" t="e">
        <f>+#REF!*D19</f>
        <v>#REF!</v>
      </c>
      <c r="E46" s="146" t="e">
        <f>+#REF!*E19</f>
        <v>#REF!</v>
      </c>
      <c r="F46" s="146" t="e">
        <f>+#REF!*F19</f>
        <v>#REF!</v>
      </c>
      <c r="G46" s="146" t="e">
        <f>+#REF!*G19</f>
        <v>#REF!</v>
      </c>
      <c r="H46" s="146" t="e">
        <f>+#REF!*H19</f>
        <v>#REF!</v>
      </c>
      <c r="I46" s="146" t="e">
        <f>+#REF!*I19</f>
        <v>#REF!</v>
      </c>
      <c r="J46" s="146" t="e">
        <f>+#REF!*J19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7" t="s">
        <v>29</v>
      </c>
      <c r="C47" s="67"/>
      <c r="D47" s="67"/>
      <c r="E47" s="154">
        <f>IFERROR(E42/E19,0)</f>
        <v>0</v>
      </c>
      <c r="F47" s="154">
        <f>IFERROR(F42/F19,0)</f>
        <v>9.4773314867279454E-2</v>
      </c>
      <c r="G47" s="154">
        <f>IFERROR(G42/G19,0)</f>
        <v>7.7671576512516147E-2</v>
      </c>
      <c r="H47" s="154">
        <f>IFERROR(H42/H19,0)</f>
        <v>7.2885019099291487E-2</v>
      </c>
      <c r="I47" s="154">
        <f>IFERROR(I42/I19,0)</f>
        <v>6.9778284786325154E-2</v>
      </c>
      <c r="J47" s="154">
        <f>IFERROR(J42/J19,0)</f>
        <v>6.7086470119094271E-2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30</v>
      </c>
      <c r="C48" s="73"/>
      <c r="D48" s="73">
        <f t="shared" ref="D48:J48" si="15">IFERROR(D42/C42-1,0)</f>
        <v>0</v>
      </c>
      <c r="E48" s="73">
        <f t="shared" si="15"/>
        <v>0</v>
      </c>
      <c r="F48" s="73">
        <f t="shared" si="15"/>
        <v>0</v>
      </c>
      <c r="G48" s="73">
        <f t="shared" si="15"/>
        <v>3.3333333333333437E-2</v>
      </c>
      <c r="H48" s="73">
        <f t="shared" si="15"/>
        <v>3.2258064516129004E-2</v>
      </c>
      <c r="I48" s="73">
        <f t="shared" si="15"/>
        <v>3.125E-2</v>
      </c>
      <c r="J48" s="73">
        <f t="shared" si="15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6">+C42</f>
        <v>0</v>
      </c>
      <c r="D51" s="47">
        <f t="shared" si="16"/>
        <v>0</v>
      </c>
      <c r="E51" s="47">
        <f t="shared" si="16"/>
        <v>0</v>
      </c>
      <c r="F51" s="47">
        <f t="shared" si="16"/>
        <v>300000</v>
      </c>
      <c r="G51" s="47">
        <f t="shared" si="16"/>
        <v>310000</v>
      </c>
      <c r="H51" s="47">
        <f t="shared" si="16"/>
        <v>320000</v>
      </c>
      <c r="I51" s="47">
        <f t="shared" si="16"/>
        <v>330000</v>
      </c>
      <c r="J51" s="47">
        <f t="shared" si="16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31</v>
      </c>
      <c r="C52" s="153">
        <f>IF(C51&gt;0,C50-C51,0)</f>
        <v>0</v>
      </c>
      <c r="D52" s="153">
        <f t="shared" ref="D52:J52" si="17">IF(D51&gt;0,D50-D51,0)</f>
        <v>0</v>
      </c>
      <c r="E52" s="153">
        <f t="shared" si="17"/>
        <v>0</v>
      </c>
      <c r="F52" s="153" t="e">
        <f t="shared" si="17"/>
        <v>#REF!</v>
      </c>
      <c r="G52" s="153" t="e">
        <f t="shared" si="17"/>
        <v>#REF!</v>
      </c>
      <c r="H52" s="153" t="e">
        <f t="shared" si="17"/>
        <v>#REF!</v>
      </c>
      <c r="I52" s="153" t="e">
        <f t="shared" si="17"/>
        <v>#REF!</v>
      </c>
      <c r="J52" s="153" t="e">
        <f t="shared" si="17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32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33</v>
      </c>
      <c r="C55" s="47"/>
      <c r="D55" s="47"/>
      <c r="E55" s="47">
        <f t="shared" ref="E55:J55" si="18">+E33-E42</f>
        <v>0</v>
      </c>
      <c r="F55" s="47">
        <f t="shared" si="18"/>
        <v>340887</v>
      </c>
      <c r="G55" s="47">
        <f t="shared" si="18"/>
        <v>529186</v>
      </c>
      <c r="H55" s="47">
        <f t="shared" si="18"/>
        <v>512436</v>
      </c>
      <c r="I55" s="47">
        <f t="shared" si="18"/>
        <v>555555</v>
      </c>
      <c r="J55" s="47">
        <f t="shared" si="18"/>
        <v>672372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34</v>
      </c>
      <c r="C56" s="56"/>
      <c r="D56" s="56"/>
      <c r="E56" s="82" t="e">
        <f>+E55-E54</f>
        <v>#REF!</v>
      </c>
      <c r="F56" s="82" t="e">
        <f t="shared" ref="F56:J56" si="19">+F55-F54</f>
        <v>#REF!</v>
      </c>
      <c r="G56" s="82" t="e">
        <f t="shared" si="19"/>
        <v>#REF!</v>
      </c>
      <c r="H56" s="82" t="e">
        <f t="shared" si="19"/>
        <v>#REF!</v>
      </c>
      <c r="I56" s="82" t="e">
        <f t="shared" si="19"/>
        <v>#REF!</v>
      </c>
      <c r="J56" s="82" t="e">
        <f t="shared" si="19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7" t="s">
        <v>35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32</v>
      </c>
      <c r="C59" s="47"/>
      <c r="D59" s="47"/>
      <c r="E59" s="84" t="e">
        <f t="shared" ref="E59:J59" si="20">+E54</f>
        <v>#REF!</v>
      </c>
      <c r="F59" s="72" t="e">
        <f t="shared" si="20"/>
        <v>#REF!</v>
      </c>
      <c r="G59" s="72" t="e">
        <f t="shared" si="20"/>
        <v>#REF!</v>
      </c>
      <c r="H59" s="72" t="e">
        <f t="shared" si="20"/>
        <v>#REF!</v>
      </c>
      <c r="I59" s="72" t="e">
        <f t="shared" si="20"/>
        <v>#REF!</v>
      </c>
      <c r="J59" s="72" t="e">
        <f t="shared" si="20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36</v>
      </c>
      <c r="C60" s="47"/>
      <c r="D60" s="47"/>
      <c r="E60" s="85" t="e">
        <f t="shared" ref="E60:J60" si="21">+E33-E42-E46</f>
        <v>#REF!</v>
      </c>
      <c r="F60" s="85" t="e">
        <f t="shared" si="21"/>
        <v>#REF!</v>
      </c>
      <c r="G60" s="85" t="e">
        <f t="shared" si="21"/>
        <v>#REF!</v>
      </c>
      <c r="H60" s="85" t="e">
        <f t="shared" si="21"/>
        <v>#REF!</v>
      </c>
      <c r="I60" s="85" t="e">
        <f t="shared" si="21"/>
        <v>#REF!</v>
      </c>
      <c r="J60" s="85" t="e">
        <f t="shared" si="21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34</v>
      </c>
      <c r="C61" s="56"/>
      <c r="D61" s="56"/>
      <c r="E61" s="82" t="e">
        <f>+E60-E59</f>
        <v>#REF!</v>
      </c>
      <c r="F61" s="82" t="e">
        <f t="shared" ref="F61:J61" si="22">+F60-F59</f>
        <v>#REF!</v>
      </c>
      <c r="G61" s="82" t="e">
        <f t="shared" si="22"/>
        <v>#REF!</v>
      </c>
      <c r="H61" s="82" t="e">
        <f t="shared" si="22"/>
        <v>#REF!</v>
      </c>
      <c r="I61" s="82" t="e">
        <f t="shared" si="22"/>
        <v>#REF!</v>
      </c>
      <c r="J61" s="82" t="e">
        <f t="shared" si="22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5" t="s">
        <v>37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233" t="s">
        <v>38</v>
      </c>
      <c r="C64" s="234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hyperlinks>
    <hyperlink ref="E75" r:id="rId1" display="https://www.loopnet.com/nevada/las-vegas_office-space-for-sale/ " xr:uid="{3470230F-ACB0-4DED-BEB5-EE1409AF4E55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158"/>
  <sheetViews>
    <sheetView showGridLines="0" topLeftCell="A20" zoomScale="160" zoomScaleNormal="160" zoomScaleSheetLayoutView="175" workbookViewId="0">
      <pane xSplit="4" ySplit="3" topLeftCell="E23" activePane="bottomRight" state="frozen"/>
      <selection activeCell="A20" sqref="A20"/>
      <selection pane="topRight" activeCell="E20" sqref="E20"/>
      <selection pane="bottomLeft" activeCell="A23" sqref="A23"/>
      <selection pane="bottomRight" activeCell="N28" sqref="N28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3" width="12.42578125" style="38" hidden="1" customWidth="1"/>
    <col min="4" max="4" width="13.28515625" style="38" hidden="1" customWidth="1"/>
    <col min="5" max="10" width="11" style="38" customWidth="1"/>
    <col min="11" max="11" width="1.140625" style="38" customWidth="1"/>
    <col min="12" max="12" width="11.28515625" style="38" bestFit="1" customWidth="1"/>
    <col min="13" max="16384" width="9.140625" style="38"/>
  </cols>
  <sheetData>
    <row r="1" spans="1:11" ht="15.75" x14ac:dyDescent="0.25">
      <c r="A1" s="223" t="s">
        <v>39</v>
      </c>
      <c r="B1" s="224"/>
      <c r="C1" s="224"/>
      <c r="F1" s="39"/>
      <c r="G1" s="39"/>
      <c r="H1" s="39"/>
      <c r="I1" s="39"/>
      <c r="J1" s="39"/>
      <c r="K1" s="38" t="s">
        <v>40</v>
      </c>
    </row>
    <row r="2" spans="1:11" ht="15.75" x14ac:dyDescent="0.25">
      <c r="A2" s="156" t="s">
        <v>198</v>
      </c>
      <c r="B2" s="157"/>
      <c r="C2" s="157"/>
      <c r="F2" s="42" t="s">
        <v>1</v>
      </c>
      <c r="G2" s="42"/>
      <c r="H2" s="42"/>
      <c r="K2" s="38" t="s">
        <v>40</v>
      </c>
    </row>
    <row r="3" spans="1:11" x14ac:dyDescent="0.2">
      <c r="A3" s="43" t="s">
        <v>2</v>
      </c>
      <c r="I3" s="229" t="s">
        <v>3</v>
      </c>
      <c r="J3" s="226"/>
      <c r="K3" s="38" t="s">
        <v>40</v>
      </c>
    </row>
    <row r="4" spans="1:11" x14ac:dyDescent="0.2">
      <c r="A4" s="44" t="s">
        <v>4</v>
      </c>
      <c r="K4" s="38" t="s">
        <v>40</v>
      </c>
    </row>
    <row r="5" spans="1:11" x14ac:dyDescent="0.2">
      <c r="A5" s="44"/>
      <c r="C5" s="237" t="s">
        <v>41</v>
      </c>
      <c r="D5" s="237" t="s">
        <v>42</v>
      </c>
      <c r="E5" s="241" t="s">
        <v>43</v>
      </c>
      <c r="F5" s="204"/>
      <c r="G5" s="204"/>
      <c r="H5" s="204"/>
      <c r="I5" s="204"/>
      <c r="J5" s="204"/>
      <c r="K5" s="38" t="s">
        <v>40</v>
      </c>
    </row>
    <row r="6" spans="1:11" x14ac:dyDescent="0.2">
      <c r="A6" s="44"/>
      <c r="B6" s="177" t="s">
        <v>44</v>
      </c>
      <c r="C6" s="246"/>
      <c r="D6" s="246"/>
      <c r="E6" s="249"/>
      <c r="F6" s="250"/>
      <c r="G6" s="250"/>
      <c r="H6" s="250"/>
      <c r="I6" s="250"/>
      <c r="J6" s="250"/>
      <c r="K6" s="38" t="s">
        <v>40</v>
      </c>
    </row>
    <row r="7" spans="1:11" x14ac:dyDescent="0.2">
      <c r="A7" s="44"/>
      <c r="B7" s="177" t="s">
        <v>45</v>
      </c>
      <c r="C7" s="246"/>
      <c r="D7" s="246"/>
      <c r="E7" s="244"/>
      <c r="F7" s="247"/>
      <c r="G7" s="247"/>
      <c r="H7" s="247"/>
      <c r="I7" s="247"/>
      <c r="J7" s="247"/>
    </row>
    <row r="8" spans="1:11" x14ac:dyDescent="0.2">
      <c r="A8" s="44"/>
      <c r="B8" s="177" t="s">
        <v>46</v>
      </c>
      <c r="C8" s="246"/>
      <c r="D8" s="246"/>
      <c r="E8" s="244"/>
      <c r="F8" s="247"/>
      <c r="G8" s="247"/>
      <c r="H8" s="247"/>
      <c r="I8" s="247"/>
      <c r="J8" s="247"/>
    </row>
    <row r="9" spans="1:11" x14ac:dyDescent="0.2">
      <c r="A9" s="44"/>
      <c r="B9" s="177" t="s">
        <v>47</v>
      </c>
      <c r="C9" s="245"/>
      <c r="D9" s="245"/>
      <c r="E9" s="244"/>
      <c r="F9" s="247"/>
      <c r="G9" s="247"/>
      <c r="H9" s="247"/>
      <c r="I9" s="247"/>
      <c r="J9" s="247"/>
    </row>
    <row r="10" spans="1:11" x14ac:dyDescent="0.2">
      <c r="A10" s="44"/>
      <c r="B10" s="177"/>
      <c r="C10" s="245"/>
      <c r="D10" s="245"/>
      <c r="E10" s="244"/>
      <c r="F10" s="247"/>
      <c r="G10" s="247"/>
      <c r="H10" s="247"/>
      <c r="I10" s="247"/>
      <c r="J10" s="247"/>
    </row>
    <row r="11" spans="1:11" x14ac:dyDescent="0.2">
      <c r="A11" s="44"/>
      <c r="B11" s="177" t="s">
        <v>48</v>
      </c>
      <c r="C11" s="245"/>
      <c r="D11" s="245"/>
      <c r="E11" s="244"/>
      <c r="F11" s="247"/>
      <c r="G11" s="247"/>
      <c r="H11" s="247"/>
      <c r="I11" s="247"/>
      <c r="J11" s="247"/>
    </row>
    <row r="12" spans="1:11" x14ac:dyDescent="0.2">
      <c r="A12" s="44"/>
      <c r="B12" s="177" t="s">
        <v>49</v>
      </c>
      <c r="C12" s="238"/>
      <c r="D12" s="238"/>
      <c r="E12" s="249"/>
      <c r="F12" s="251"/>
      <c r="G12" s="251"/>
      <c r="H12" s="251"/>
      <c r="I12" s="251"/>
      <c r="J12" s="251"/>
      <c r="K12" s="38" t="s">
        <v>40</v>
      </c>
    </row>
    <row r="13" spans="1:11" x14ac:dyDescent="0.2">
      <c r="A13" s="44"/>
      <c r="B13" s="177" t="s">
        <v>50</v>
      </c>
      <c r="C13" s="239"/>
      <c r="D13" s="239"/>
      <c r="E13" s="249"/>
      <c r="F13" s="251"/>
      <c r="G13" s="251"/>
      <c r="H13" s="251"/>
      <c r="I13" s="251"/>
      <c r="J13" s="251"/>
      <c r="K13" s="38" t="s">
        <v>40</v>
      </c>
    </row>
    <row r="14" spans="1:11" x14ac:dyDescent="0.2">
      <c r="A14" s="44"/>
      <c r="B14" s="177" t="s">
        <v>27</v>
      </c>
      <c r="C14" s="239"/>
      <c r="D14" s="239"/>
      <c r="E14" s="249"/>
      <c r="F14" s="251"/>
      <c r="G14" s="251"/>
      <c r="H14" s="251"/>
      <c r="I14" s="251"/>
      <c r="J14" s="251"/>
      <c r="K14" s="38" t="s">
        <v>40</v>
      </c>
    </row>
    <row r="15" spans="1:11" x14ac:dyDescent="0.2">
      <c r="A15" s="44"/>
      <c r="B15" s="177" t="s">
        <v>51</v>
      </c>
      <c r="C15" s="239"/>
      <c r="D15" s="239"/>
      <c r="E15" s="249"/>
      <c r="F15" s="251"/>
      <c r="G15" s="251"/>
      <c r="H15" s="251"/>
      <c r="I15" s="251"/>
      <c r="J15" s="251"/>
      <c r="K15" s="38" t="s">
        <v>40</v>
      </c>
    </row>
    <row r="16" spans="1:11" x14ac:dyDescent="0.2">
      <c r="A16" s="44"/>
      <c r="B16" s="177" t="s">
        <v>52</v>
      </c>
      <c r="C16" s="239"/>
      <c r="D16" s="239"/>
      <c r="E16" s="249"/>
      <c r="F16" s="251"/>
      <c r="G16" s="251"/>
      <c r="H16" s="251"/>
      <c r="I16" s="251"/>
      <c r="J16" s="251"/>
      <c r="K16" s="38" t="s">
        <v>40</v>
      </c>
    </row>
    <row r="17" spans="1:18" x14ac:dyDescent="0.2">
      <c r="A17" s="44"/>
      <c r="B17" s="177" t="s">
        <v>53</v>
      </c>
      <c r="C17" s="239"/>
      <c r="D17" s="239"/>
      <c r="E17" s="244"/>
      <c r="F17" s="240"/>
      <c r="G17" s="240"/>
      <c r="H17" s="240"/>
      <c r="I17" s="240"/>
      <c r="J17" s="240"/>
    </row>
    <row r="18" spans="1:18" x14ac:dyDescent="0.2">
      <c r="A18" s="44"/>
      <c r="B18" s="177" t="s">
        <v>54</v>
      </c>
      <c r="C18" s="239"/>
      <c r="D18" s="239"/>
      <c r="E18" s="244"/>
      <c r="F18" s="240"/>
      <c r="G18" s="240"/>
      <c r="H18" s="240"/>
      <c r="I18" s="240"/>
      <c r="J18" s="240"/>
    </row>
    <row r="19" spans="1:18" x14ac:dyDescent="0.2">
      <c r="A19" s="44"/>
      <c r="K19" s="38" t="s">
        <v>40</v>
      </c>
    </row>
    <row r="20" spans="1:18" x14ac:dyDescent="0.2">
      <c r="A20" s="45"/>
      <c r="C20" s="178"/>
      <c r="D20" s="178"/>
      <c r="E20" s="179" t="s">
        <v>5</v>
      </c>
      <c r="F20" s="180" t="s">
        <v>55</v>
      </c>
      <c r="G20" s="181"/>
      <c r="H20" s="181"/>
      <c r="I20" s="181"/>
      <c r="J20" s="181"/>
      <c r="K20" s="38" t="s">
        <v>40</v>
      </c>
    </row>
    <row r="21" spans="1:18" ht="13.5" x14ac:dyDescent="0.25">
      <c r="A21" s="46"/>
      <c r="B21" s="235" t="s">
        <v>56</v>
      </c>
      <c r="C21" s="47"/>
      <c r="D21" s="47"/>
      <c r="F21" s="48">
        <v>1</v>
      </c>
      <c r="G21" s="48">
        <v>2</v>
      </c>
      <c r="H21" s="48">
        <v>3</v>
      </c>
      <c r="I21" s="48">
        <v>4</v>
      </c>
      <c r="J21" s="48">
        <v>5</v>
      </c>
      <c r="K21" s="242" t="s">
        <v>40</v>
      </c>
      <c r="M21" s="46"/>
      <c r="N21" s="46"/>
      <c r="O21" s="46"/>
      <c r="P21" s="46"/>
      <c r="Q21" s="46"/>
      <c r="R21" s="46"/>
    </row>
    <row r="22" spans="1:18" x14ac:dyDescent="0.2">
      <c r="A22" s="46"/>
      <c r="B22" s="49"/>
      <c r="C22" s="50">
        <f>+D22-1</f>
        <v>2021</v>
      </c>
      <c r="D22" s="50">
        <f>+E22-1</f>
        <v>2022</v>
      </c>
      <c r="E22" s="51">
        <v>2023</v>
      </c>
      <c r="F22" s="225">
        <f t="shared" ref="F22:J22" si="0">1+E22</f>
        <v>2024</v>
      </c>
      <c r="G22" s="225">
        <f t="shared" si="0"/>
        <v>2025</v>
      </c>
      <c r="H22" s="225">
        <f t="shared" si="0"/>
        <v>2026</v>
      </c>
      <c r="I22" s="225">
        <f t="shared" si="0"/>
        <v>2027</v>
      </c>
      <c r="J22" s="225">
        <f t="shared" si="0"/>
        <v>2028</v>
      </c>
      <c r="K22" s="38" t="s">
        <v>40</v>
      </c>
      <c r="M22" s="46"/>
      <c r="N22" s="46"/>
      <c r="O22" s="46"/>
      <c r="P22" s="46"/>
      <c r="Q22" s="46"/>
      <c r="R22" s="46"/>
    </row>
    <row r="23" spans="1:1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38" t="s">
        <v>40</v>
      </c>
      <c r="M23" s="46"/>
      <c r="N23" s="46"/>
      <c r="O23" s="46"/>
      <c r="P23" s="46"/>
      <c r="Q23" s="46"/>
      <c r="R23" s="46"/>
    </row>
    <row r="24" spans="1:18" x14ac:dyDescent="0.2">
      <c r="A24" s="46"/>
      <c r="B24" s="175" t="s">
        <v>57</v>
      </c>
      <c r="C24" s="50"/>
      <c r="D24" s="50"/>
      <c r="E24" s="50"/>
      <c r="F24" s="50"/>
      <c r="G24" s="50"/>
      <c r="H24" s="50"/>
      <c r="I24" s="50"/>
      <c r="J24" s="50"/>
      <c r="K24" s="38" t="s">
        <v>40</v>
      </c>
      <c r="M24" s="46"/>
      <c r="N24" s="46"/>
      <c r="O24" s="46"/>
      <c r="P24" s="46"/>
      <c r="Q24" s="46"/>
      <c r="R24" s="46"/>
    </row>
    <row r="25" spans="1:18" x14ac:dyDescent="0.2">
      <c r="A25" s="46"/>
      <c r="B25" s="52" t="s">
        <v>8</v>
      </c>
      <c r="C25" s="53"/>
      <c r="D25" s="53"/>
      <c r="E25" s="53">
        <v>133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38" t="s">
        <v>40</v>
      </c>
      <c r="M25" s="46"/>
      <c r="N25" s="46"/>
      <c r="O25" s="46"/>
      <c r="P25" s="46"/>
      <c r="Q25" s="46"/>
      <c r="R25" s="46"/>
    </row>
    <row r="26" spans="1:18" x14ac:dyDescent="0.2">
      <c r="A26" s="46"/>
      <c r="B26" s="54" t="s">
        <v>9</v>
      </c>
      <c r="C26" s="55"/>
      <c r="D26" s="55"/>
      <c r="E26" s="55">
        <v>140</v>
      </c>
      <c r="F26" s="54">
        <v>300</v>
      </c>
      <c r="G26" s="54">
        <v>366</v>
      </c>
      <c r="H26" s="54">
        <v>396</v>
      </c>
      <c r="I26" s="54">
        <v>426</v>
      </c>
      <c r="J26" s="54">
        <v>456</v>
      </c>
      <c r="K26" s="38" t="s">
        <v>40</v>
      </c>
      <c r="M26" s="46"/>
      <c r="N26" s="46"/>
      <c r="O26" s="46"/>
      <c r="P26" s="46"/>
      <c r="Q26" s="46"/>
      <c r="R26" s="46"/>
    </row>
    <row r="27" spans="1:18" x14ac:dyDescent="0.2">
      <c r="A27" s="46"/>
      <c r="B27" s="56"/>
      <c r="C27" s="57">
        <f>IF(C25&gt;0,C25-C26,0)</f>
        <v>0</v>
      </c>
      <c r="D27" s="57">
        <f t="shared" ref="D27:J27" si="1">IF(D25&gt;0,D25-D26,0)</f>
        <v>0</v>
      </c>
      <c r="E27" s="57">
        <f t="shared" si="1"/>
        <v>-7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38" t="s">
        <v>40</v>
      </c>
      <c r="M27" s="46"/>
      <c r="N27" s="46"/>
      <c r="O27" s="46"/>
      <c r="P27" s="46"/>
      <c r="Q27" s="46"/>
      <c r="R27" s="46"/>
    </row>
    <row r="28" spans="1:18" x14ac:dyDescent="0.2">
      <c r="A28" s="46"/>
      <c r="B28" s="47"/>
      <c r="C28" s="192"/>
      <c r="D28" s="192"/>
      <c r="E28" s="192"/>
      <c r="F28" s="192"/>
      <c r="G28" s="192"/>
      <c r="H28" s="192"/>
      <c r="I28" s="192"/>
      <c r="J28" s="192"/>
      <c r="K28" s="38" t="s">
        <v>40</v>
      </c>
      <c r="M28" s="46"/>
      <c r="N28" s="46"/>
      <c r="O28" s="46"/>
      <c r="P28" s="46"/>
      <c r="Q28" s="46"/>
      <c r="R28" s="46"/>
    </row>
    <row r="29" spans="1:18" x14ac:dyDescent="0.2">
      <c r="A29" s="46"/>
      <c r="B29" s="175" t="s">
        <v>58</v>
      </c>
      <c r="C29" s="50"/>
      <c r="D29" s="50"/>
      <c r="E29" s="50"/>
      <c r="F29" s="50"/>
      <c r="G29" s="50"/>
      <c r="H29" s="50"/>
      <c r="I29" s="50"/>
      <c r="J29" s="50"/>
      <c r="K29" s="38" t="s">
        <v>40</v>
      </c>
      <c r="M29" s="46"/>
      <c r="N29" s="46"/>
      <c r="O29" s="46"/>
      <c r="P29" s="46"/>
      <c r="Q29" s="46"/>
      <c r="R29" s="46"/>
    </row>
    <row r="30" spans="1:18" hidden="1" x14ac:dyDescent="0.2">
      <c r="A30" s="46"/>
      <c r="B30" s="58"/>
      <c r="C30" s="147"/>
      <c r="D30" s="147"/>
      <c r="E30" s="147"/>
      <c r="F30" s="147"/>
      <c r="G30" s="147"/>
      <c r="H30" s="147"/>
      <c r="I30" s="147"/>
      <c r="J30" s="147"/>
      <c r="K30" s="38" t="s">
        <v>40</v>
      </c>
      <c r="M30" s="46"/>
      <c r="N30" s="46"/>
      <c r="O30" s="46"/>
      <c r="P30" s="46"/>
      <c r="Q30" s="46"/>
      <c r="R30" s="46"/>
    </row>
    <row r="31" spans="1:18" hidden="1" x14ac:dyDescent="0.2">
      <c r="A31" s="46"/>
      <c r="B31" s="59"/>
      <c r="C31" s="148"/>
      <c r="D31" s="148"/>
      <c r="E31" s="148"/>
      <c r="F31" s="148"/>
      <c r="G31" s="148"/>
      <c r="H31" s="148"/>
      <c r="I31" s="148"/>
      <c r="J31" s="148"/>
      <c r="K31" s="38" t="s">
        <v>40</v>
      </c>
      <c r="M31" s="46"/>
      <c r="N31" s="46"/>
      <c r="O31" s="46"/>
      <c r="P31" s="46"/>
      <c r="Q31" s="46"/>
      <c r="R31" s="46"/>
    </row>
    <row r="32" spans="1:18" x14ac:dyDescent="0.2">
      <c r="A32" s="46"/>
      <c r="B32" s="60" t="s">
        <v>12</v>
      </c>
      <c r="C32" s="149">
        <f t="shared" ref="C32:D32" si="2">7300*C26</f>
        <v>0</v>
      </c>
      <c r="D32" s="149">
        <f t="shared" si="2"/>
        <v>0</v>
      </c>
      <c r="E32" s="149">
        <v>2347681.5</v>
      </c>
      <c r="F32" s="149">
        <v>3165447</v>
      </c>
      <c r="G32" s="149">
        <v>3991164</v>
      </c>
      <c r="H32" s="149">
        <v>4390477</v>
      </c>
      <c r="I32" s="149">
        <v>4729264</v>
      </c>
      <c r="J32" s="149">
        <v>5068086</v>
      </c>
      <c r="K32" s="38" t="s">
        <v>40</v>
      </c>
      <c r="M32" s="46"/>
      <c r="N32" s="46"/>
      <c r="O32" s="46"/>
      <c r="P32" s="46"/>
      <c r="Q32" s="46"/>
      <c r="R32" s="46"/>
    </row>
    <row r="33" spans="1:18" x14ac:dyDescent="0.2">
      <c r="A33" s="46"/>
      <c r="B33" s="56" t="s">
        <v>12</v>
      </c>
      <c r="C33" s="56">
        <f>SUM(C30:C32)</f>
        <v>0</v>
      </c>
      <c r="D33" s="56">
        <f t="shared" ref="D33:J33" si="3">SUM(D30:D32)</f>
        <v>0</v>
      </c>
      <c r="E33" s="56">
        <f t="shared" si="3"/>
        <v>2347681.5</v>
      </c>
      <c r="F33" s="56">
        <f t="shared" si="3"/>
        <v>3165447</v>
      </c>
      <c r="G33" s="56">
        <f t="shared" si="3"/>
        <v>3991164</v>
      </c>
      <c r="H33" s="56">
        <f t="shared" si="3"/>
        <v>4390477</v>
      </c>
      <c r="I33" s="56">
        <f t="shared" si="3"/>
        <v>4729264</v>
      </c>
      <c r="J33" s="56">
        <f t="shared" si="3"/>
        <v>5068086</v>
      </c>
      <c r="K33" s="38" t="s">
        <v>40</v>
      </c>
      <c r="M33" s="46"/>
      <c r="N33" s="46"/>
      <c r="O33" s="46"/>
      <c r="P33" s="46"/>
      <c r="Q33" s="46"/>
      <c r="R33" s="46"/>
    </row>
    <row r="34" spans="1:18" x14ac:dyDescent="0.2">
      <c r="A34" s="46"/>
      <c r="B34" s="193" t="s">
        <v>14</v>
      </c>
      <c r="C34" s="194" t="e">
        <f t="shared" ref="C34:E34" si="4">IF(C$25&gt;0,C33/C$25,C33/C$26)</f>
        <v>#DIV/0!</v>
      </c>
      <c r="D34" s="194" t="e">
        <f t="shared" si="4"/>
        <v>#DIV/0!</v>
      </c>
      <c r="E34" s="194">
        <f t="shared" si="4"/>
        <v>17651.74060150376</v>
      </c>
      <c r="F34" s="194">
        <f>IF(F$25&gt;0,F33/F$25,F33/F$26)</f>
        <v>10551.49</v>
      </c>
      <c r="G34" s="194">
        <f t="shared" ref="G34:J34" si="5">IF(G$25&gt;0,G33/G$25,G33/G$26)</f>
        <v>10904.819672131147</v>
      </c>
      <c r="H34" s="194">
        <f t="shared" si="5"/>
        <v>11087.063131313131</v>
      </c>
      <c r="I34" s="194">
        <f t="shared" si="5"/>
        <v>11101.558685446009</v>
      </c>
      <c r="J34" s="194">
        <f t="shared" si="5"/>
        <v>11114.223684210527</v>
      </c>
      <c r="K34" s="38" t="s">
        <v>40</v>
      </c>
      <c r="M34" s="46"/>
      <c r="N34" s="46"/>
      <c r="O34" s="46"/>
      <c r="P34" s="46"/>
      <c r="Q34" s="46"/>
      <c r="R34" s="46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38" t="s">
        <v>40</v>
      </c>
      <c r="M35" s="46"/>
      <c r="N35" s="46"/>
      <c r="O35" s="46"/>
      <c r="P35" s="46"/>
      <c r="Q35" s="46"/>
      <c r="R35" s="46"/>
    </row>
    <row r="36" spans="1:18" x14ac:dyDescent="0.2">
      <c r="A36" s="46"/>
      <c r="B36" s="175" t="s">
        <v>59</v>
      </c>
      <c r="C36" s="50"/>
      <c r="D36" s="50"/>
      <c r="E36" s="50"/>
      <c r="F36" s="50"/>
      <c r="G36" s="50"/>
      <c r="H36" s="50"/>
      <c r="I36" s="50"/>
      <c r="J36" s="50"/>
      <c r="K36" s="38" t="s">
        <v>40</v>
      </c>
      <c r="M36" s="46"/>
      <c r="N36" s="46"/>
      <c r="O36" s="46"/>
      <c r="P36" s="46"/>
      <c r="Q36" s="46"/>
      <c r="R36" s="46"/>
    </row>
    <row r="37" spans="1:18" hidden="1" x14ac:dyDescent="0.2">
      <c r="A37" s="46"/>
      <c r="B37" s="62" t="s">
        <v>16</v>
      </c>
      <c r="C37" s="150">
        <v>0</v>
      </c>
      <c r="D37" s="150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38" t="s">
        <v>40</v>
      </c>
      <c r="M37" s="46"/>
      <c r="N37" s="46"/>
      <c r="O37" s="46"/>
      <c r="P37" s="46"/>
      <c r="Q37" s="46"/>
      <c r="R37" s="46"/>
    </row>
    <row r="38" spans="1:18" hidden="1" x14ac:dyDescent="0.2">
      <c r="A38" s="46"/>
      <c r="B38" s="63" t="s">
        <v>17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38" t="s">
        <v>40</v>
      </c>
      <c r="M38" s="46"/>
      <c r="N38" s="46"/>
      <c r="O38" s="46"/>
      <c r="P38" s="46"/>
      <c r="Q38" s="46"/>
      <c r="R38" s="46"/>
    </row>
    <row r="39" spans="1:18" hidden="1" x14ac:dyDescent="0.2">
      <c r="A39" s="243"/>
      <c r="B39" s="54" t="s">
        <v>60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38" t="s">
        <v>40</v>
      </c>
      <c r="M39" s="46"/>
      <c r="N39" s="46"/>
      <c r="O39" s="46"/>
      <c r="P39" s="46"/>
      <c r="Q39" s="46"/>
      <c r="R39" s="46"/>
    </row>
    <row r="40" spans="1:18" x14ac:dyDescent="0.2">
      <c r="A40" s="46"/>
      <c r="B40" s="64" t="s">
        <v>18</v>
      </c>
      <c r="C40" s="184">
        <f>+C32*0.95</f>
        <v>0</v>
      </c>
      <c r="D40" s="184">
        <f t="shared" ref="D40" si="6">+D32*0.95</f>
        <v>0</v>
      </c>
      <c r="E40" s="184">
        <v>2339665.5</v>
      </c>
      <c r="F40" s="184">
        <v>3050686</v>
      </c>
      <c r="G40" s="184">
        <v>3755130</v>
      </c>
      <c r="H40" s="184">
        <v>4220107</v>
      </c>
      <c r="I40" s="184">
        <v>4582574.5</v>
      </c>
      <c r="J40" s="184">
        <v>4825221</v>
      </c>
      <c r="K40" s="38" t="s">
        <v>40</v>
      </c>
      <c r="M40" s="46"/>
      <c r="N40" s="46"/>
      <c r="O40" s="46"/>
      <c r="P40" s="46"/>
      <c r="Q40" s="46"/>
      <c r="R40" s="46"/>
    </row>
    <row r="41" spans="1:18" x14ac:dyDescent="0.2">
      <c r="A41" s="46"/>
      <c r="B41" s="47" t="s">
        <v>20</v>
      </c>
      <c r="C41" s="72">
        <f>SUM(C37:C40)</f>
        <v>0</v>
      </c>
      <c r="D41" s="72">
        <f>SUM(D37:D40)</f>
        <v>0</v>
      </c>
      <c r="E41" s="72">
        <f t="shared" ref="E41:J41" si="7">SUM(E37:E40)</f>
        <v>2339665.5</v>
      </c>
      <c r="F41" s="72">
        <f t="shared" si="7"/>
        <v>3050686</v>
      </c>
      <c r="G41" s="72">
        <f t="shared" si="7"/>
        <v>3755130</v>
      </c>
      <c r="H41" s="72">
        <f t="shared" si="7"/>
        <v>4220107</v>
      </c>
      <c r="I41" s="72">
        <f t="shared" si="7"/>
        <v>4582574.5</v>
      </c>
      <c r="J41" s="72">
        <f t="shared" si="7"/>
        <v>4825221</v>
      </c>
      <c r="K41" s="38" t="s">
        <v>40</v>
      </c>
      <c r="M41" s="46"/>
      <c r="N41" s="46"/>
      <c r="O41" s="46"/>
      <c r="P41" s="46"/>
      <c r="Q41" s="46"/>
      <c r="R41" s="46"/>
    </row>
    <row r="42" spans="1:18" x14ac:dyDescent="0.2">
      <c r="A42" s="46"/>
      <c r="B42" s="193" t="s">
        <v>21</v>
      </c>
      <c r="C42" s="194" t="e">
        <f t="shared" ref="C42:E42" si="8">IF(C$25&gt;0,C41/C$25,C41/C$26)</f>
        <v>#DIV/0!</v>
      </c>
      <c r="D42" s="194" t="e">
        <f t="shared" si="8"/>
        <v>#DIV/0!</v>
      </c>
      <c r="E42" s="194">
        <f t="shared" si="8"/>
        <v>17591.469924812031</v>
      </c>
      <c r="F42" s="194">
        <f>IF(F$25&gt;0,F41/F$25,F41/F$26)</f>
        <v>10168.953333333333</v>
      </c>
      <c r="G42" s="194">
        <f t="shared" ref="G42:J42" si="9">IF(G$25&gt;0,G41/G$25,G41/G$26)</f>
        <v>10259.918032786885</v>
      </c>
      <c r="H42" s="194">
        <f t="shared" si="9"/>
        <v>10656.835858585859</v>
      </c>
      <c r="I42" s="194">
        <f t="shared" si="9"/>
        <v>10757.217136150235</v>
      </c>
      <c r="J42" s="194">
        <f t="shared" si="9"/>
        <v>10581.625</v>
      </c>
      <c r="K42" s="38" t="s">
        <v>40</v>
      </c>
      <c r="M42" s="46"/>
      <c r="N42" s="46"/>
      <c r="O42" s="46"/>
      <c r="P42" s="46"/>
      <c r="Q42" s="46"/>
      <c r="R42" s="46"/>
    </row>
    <row r="43" spans="1:18" x14ac:dyDescent="0.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38" t="s">
        <v>40</v>
      </c>
      <c r="M43" s="46"/>
      <c r="N43" s="46"/>
      <c r="O43" s="46"/>
      <c r="P43" s="46"/>
      <c r="Q43" s="46"/>
      <c r="R43" s="46"/>
    </row>
    <row r="44" spans="1:18" ht="13.5" thickBot="1" x14ac:dyDescent="0.25">
      <c r="A44" s="46"/>
      <c r="B44" s="188" t="s">
        <v>22</v>
      </c>
      <c r="C44" s="66">
        <f t="shared" ref="C44:J44" si="10">SUM(C30:C32)-C41</f>
        <v>0</v>
      </c>
      <c r="D44" s="66">
        <f t="shared" si="10"/>
        <v>0</v>
      </c>
      <c r="E44" s="66">
        <f t="shared" si="10"/>
        <v>8016</v>
      </c>
      <c r="F44" s="66">
        <f t="shared" si="10"/>
        <v>114761</v>
      </c>
      <c r="G44" s="66">
        <f t="shared" si="10"/>
        <v>236034</v>
      </c>
      <c r="H44" s="66">
        <f t="shared" si="10"/>
        <v>170370</v>
      </c>
      <c r="I44" s="66">
        <f t="shared" si="10"/>
        <v>146689.5</v>
      </c>
      <c r="J44" s="66">
        <f t="shared" si="10"/>
        <v>242865</v>
      </c>
      <c r="K44" s="38" t="s">
        <v>40</v>
      </c>
      <c r="M44" s="46"/>
      <c r="N44" s="46"/>
      <c r="O44" s="46"/>
      <c r="P44" s="46"/>
      <c r="Q44" s="46"/>
      <c r="R44" s="46"/>
    </row>
    <row r="45" spans="1:18" ht="13.5" thickTop="1" x14ac:dyDescent="0.2">
      <c r="A45" s="46"/>
      <c r="B45" s="67" t="s">
        <v>23</v>
      </c>
      <c r="C45" s="47"/>
      <c r="D45" s="47"/>
      <c r="E45" s="47"/>
      <c r="F45" s="72">
        <f>+F44+E45</f>
        <v>114761</v>
      </c>
      <c r="G45" s="72">
        <f t="shared" ref="G45:J45" si="11">+G44+F45</f>
        <v>350795</v>
      </c>
      <c r="H45" s="72">
        <f t="shared" si="11"/>
        <v>521165</v>
      </c>
      <c r="I45" s="72">
        <f t="shared" si="11"/>
        <v>667854.5</v>
      </c>
      <c r="J45" s="72">
        <f t="shared" si="11"/>
        <v>910719.5</v>
      </c>
      <c r="K45" s="38" t="s">
        <v>40</v>
      </c>
      <c r="M45" s="46"/>
      <c r="N45" s="46"/>
      <c r="O45" s="46"/>
      <c r="P45" s="46"/>
      <c r="Q45" s="46"/>
      <c r="R45" s="46"/>
    </row>
    <row r="46" spans="1:18" x14ac:dyDescent="0.2">
      <c r="A46" s="46"/>
      <c r="B46" s="67"/>
      <c r="C46" s="47"/>
      <c r="D46" s="47"/>
      <c r="E46" s="47"/>
      <c r="F46" s="47"/>
      <c r="G46" s="47"/>
      <c r="H46" s="47"/>
      <c r="I46" s="47"/>
      <c r="J46" s="47"/>
      <c r="K46" s="38" t="s">
        <v>40</v>
      </c>
      <c r="M46" s="46"/>
      <c r="N46" s="46"/>
      <c r="O46" s="46"/>
      <c r="P46" s="46"/>
      <c r="Q46" s="46"/>
      <c r="R46" s="46"/>
    </row>
    <row r="47" spans="1:18" ht="15.75" x14ac:dyDescent="0.25">
      <c r="A47" s="46"/>
      <c r="B47" s="163" t="s">
        <v>61</v>
      </c>
      <c r="C47" s="47"/>
      <c r="D47" s="47"/>
      <c r="E47" s="47"/>
      <c r="F47" s="47"/>
      <c r="G47" s="47"/>
      <c r="H47" s="47"/>
      <c r="I47" s="47"/>
      <c r="J47" s="47"/>
      <c r="K47" s="38" t="s">
        <v>40</v>
      </c>
      <c r="M47" s="46"/>
      <c r="N47" s="46"/>
      <c r="O47" s="46"/>
      <c r="P47" s="46"/>
      <c r="Q47" s="46"/>
      <c r="R47" s="46"/>
    </row>
    <row r="48" spans="1:18" x14ac:dyDescent="0.2">
      <c r="A48" s="46"/>
      <c r="B48" s="47"/>
      <c r="C48" s="68"/>
      <c r="D48" s="68"/>
      <c r="E48" s="68"/>
      <c r="F48" s="195" t="s">
        <v>62</v>
      </c>
      <c r="G48" s="196">
        <v>2</v>
      </c>
      <c r="H48" s="196">
        <v>3</v>
      </c>
      <c r="I48" s="196">
        <v>4</v>
      </c>
      <c r="J48" s="196">
        <v>5</v>
      </c>
      <c r="K48" s="38" t="s">
        <v>40</v>
      </c>
      <c r="M48" s="46"/>
      <c r="N48" s="46"/>
      <c r="O48" s="46"/>
      <c r="P48" s="46"/>
      <c r="Q48" s="46"/>
      <c r="R48" s="46"/>
    </row>
    <row r="49" spans="1:18" x14ac:dyDescent="0.2">
      <c r="A49" s="46"/>
      <c r="B49" s="175" t="s">
        <v>63</v>
      </c>
      <c r="C49" s="50">
        <f>+D49-1</f>
        <v>2021</v>
      </c>
      <c r="D49" s="50">
        <f>+E49-1</f>
        <v>2022</v>
      </c>
      <c r="E49" s="50">
        <f>+F49-1</f>
        <v>2023</v>
      </c>
      <c r="F49" s="70">
        <f>+F22</f>
        <v>2024</v>
      </c>
      <c r="G49" s="50">
        <f t="shared" ref="G49" si="12">1+F49</f>
        <v>2025</v>
      </c>
      <c r="H49" s="50">
        <f t="shared" ref="H49" si="13">1+G49</f>
        <v>2026</v>
      </c>
      <c r="I49" s="50">
        <f t="shared" ref="I49" si="14">1+H49</f>
        <v>2027</v>
      </c>
      <c r="J49" s="50">
        <f t="shared" ref="J49" si="15">1+I49</f>
        <v>2028</v>
      </c>
      <c r="K49" s="38" t="s">
        <v>40</v>
      </c>
      <c r="M49" s="46"/>
      <c r="N49" s="46"/>
      <c r="O49" s="46"/>
      <c r="P49" s="46"/>
      <c r="Q49" s="46"/>
      <c r="R49" s="46"/>
    </row>
    <row r="50" spans="1:18" x14ac:dyDescent="0.2">
      <c r="A50" s="46"/>
      <c r="B50" s="71" t="s">
        <v>64</v>
      </c>
      <c r="C50" s="167"/>
      <c r="D50" s="167"/>
      <c r="E50" s="167"/>
      <c r="F50" s="167"/>
      <c r="G50" s="167"/>
      <c r="H50" s="167"/>
      <c r="I50" s="167"/>
      <c r="J50" s="167"/>
      <c r="K50" s="38" t="s">
        <v>40</v>
      </c>
      <c r="M50" s="46"/>
      <c r="N50" s="46"/>
      <c r="O50" s="46"/>
      <c r="P50" s="46"/>
      <c r="Q50" s="46"/>
      <c r="R50" s="46"/>
    </row>
    <row r="51" spans="1:18" x14ac:dyDescent="0.2">
      <c r="A51" s="46"/>
      <c r="B51" s="63" t="s">
        <v>65</v>
      </c>
      <c r="C51" s="168"/>
      <c r="D51" s="168"/>
      <c r="E51" s="168"/>
      <c r="F51" s="168">
        <v>35000</v>
      </c>
      <c r="G51" s="168">
        <f>+F51</f>
        <v>35000</v>
      </c>
      <c r="H51" s="168">
        <f t="shared" ref="H51:J51" si="16">+G51</f>
        <v>35000</v>
      </c>
      <c r="I51" s="168">
        <f t="shared" si="16"/>
        <v>35000</v>
      </c>
      <c r="J51" s="168">
        <f t="shared" si="16"/>
        <v>35000</v>
      </c>
      <c r="K51" s="38" t="s">
        <v>40</v>
      </c>
      <c r="L51" s="248" t="s">
        <v>199</v>
      </c>
      <c r="M51" s="46"/>
      <c r="N51" s="46"/>
      <c r="O51" s="46"/>
      <c r="P51" s="46"/>
      <c r="Q51" s="46"/>
      <c r="R51" s="46"/>
    </row>
    <row r="52" spans="1:18" x14ac:dyDescent="0.2">
      <c r="A52" s="46"/>
      <c r="B52" s="64"/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38" t="s">
        <v>40</v>
      </c>
      <c r="M52" s="46"/>
      <c r="N52" s="46"/>
      <c r="O52" s="46"/>
      <c r="P52" s="46"/>
      <c r="Q52" s="46"/>
      <c r="R52" s="46"/>
    </row>
    <row r="53" spans="1:18" x14ac:dyDescent="0.2">
      <c r="A53" s="46"/>
      <c r="B53" s="47" t="s">
        <v>66</v>
      </c>
      <c r="C53" s="72"/>
      <c r="D53" s="72"/>
      <c r="E53" s="72"/>
      <c r="F53" s="47">
        <f>+F51-F50</f>
        <v>35000</v>
      </c>
      <c r="G53" s="47">
        <f t="shared" ref="G53:J53" si="17">+G51-G50</f>
        <v>35000</v>
      </c>
      <c r="H53" s="47">
        <f t="shared" si="17"/>
        <v>35000</v>
      </c>
      <c r="I53" s="47">
        <f t="shared" si="17"/>
        <v>35000</v>
      </c>
      <c r="J53" s="47">
        <f t="shared" si="17"/>
        <v>35000</v>
      </c>
      <c r="K53" s="38" t="s">
        <v>40</v>
      </c>
      <c r="M53" s="46"/>
      <c r="N53" s="46"/>
      <c r="O53" s="46"/>
      <c r="P53" s="46"/>
      <c r="Q53" s="46"/>
      <c r="R53" s="46"/>
    </row>
    <row r="54" spans="1:18" x14ac:dyDescent="0.2">
      <c r="A54" s="46"/>
      <c r="B54" s="47"/>
      <c r="C54" s="72"/>
      <c r="D54" s="72"/>
      <c r="E54" s="72"/>
      <c r="F54" s="47"/>
      <c r="G54" s="47"/>
      <c r="H54" s="47"/>
      <c r="I54" s="47"/>
      <c r="J54" s="47"/>
      <c r="K54" s="38" t="s">
        <v>40</v>
      </c>
      <c r="M54" s="46"/>
      <c r="N54" s="46"/>
      <c r="O54" s="46"/>
      <c r="P54" s="46"/>
      <c r="Q54" s="46"/>
      <c r="R54" s="46"/>
    </row>
    <row r="55" spans="1:18" ht="12.75" customHeight="1" x14ac:dyDescent="0.25">
      <c r="A55" s="46"/>
      <c r="B55" s="163"/>
      <c r="C55" s="68"/>
      <c r="D55" s="68"/>
      <c r="E55" s="68"/>
      <c r="F55" s="69" t="s">
        <v>67</v>
      </c>
      <c r="G55" s="48">
        <v>2</v>
      </c>
      <c r="H55" s="48">
        <v>3</v>
      </c>
      <c r="I55" s="48">
        <v>4</v>
      </c>
      <c r="J55" s="48">
        <v>5</v>
      </c>
      <c r="K55" s="38" t="s">
        <v>40</v>
      </c>
      <c r="M55" s="46"/>
      <c r="N55" s="46"/>
      <c r="O55" s="46"/>
      <c r="P55" s="46"/>
      <c r="Q55" s="46"/>
      <c r="R55" s="46"/>
    </row>
    <row r="56" spans="1:18" x14ac:dyDescent="0.2">
      <c r="A56" s="46"/>
      <c r="B56" s="175" t="s">
        <v>68</v>
      </c>
      <c r="C56" s="50">
        <f>+D56-1</f>
        <v>2021</v>
      </c>
      <c r="D56" s="50">
        <f>+E56-1</f>
        <v>2022</v>
      </c>
      <c r="E56" s="50">
        <f>+F56-1</f>
        <v>2023</v>
      </c>
      <c r="F56" s="70">
        <f>+F$22</f>
        <v>2024</v>
      </c>
      <c r="G56" s="50">
        <f t="shared" ref="G56:I56" si="18">1+F56</f>
        <v>2025</v>
      </c>
      <c r="H56" s="50">
        <f t="shared" si="18"/>
        <v>2026</v>
      </c>
      <c r="I56" s="50">
        <f t="shared" si="18"/>
        <v>2027</v>
      </c>
      <c r="J56" s="50">
        <f>1+I56</f>
        <v>2028</v>
      </c>
      <c r="K56" s="38" t="s">
        <v>40</v>
      </c>
      <c r="M56" s="46"/>
      <c r="N56" s="46"/>
      <c r="O56" s="46"/>
      <c r="P56" s="46"/>
      <c r="Q56" s="46"/>
      <c r="R56" s="46"/>
    </row>
    <row r="57" spans="1:18" x14ac:dyDescent="0.2">
      <c r="A57" s="46"/>
      <c r="B57" s="164" t="str">
        <f>+B50</f>
        <v>Current facility leased</v>
      </c>
      <c r="C57" s="169">
        <f>0.16*C32</f>
        <v>0</v>
      </c>
      <c r="D57" s="169">
        <f>1.06*C57</f>
        <v>0</v>
      </c>
      <c r="E57" s="169">
        <f>165000+15000</f>
        <v>180000</v>
      </c>
      <c r="F57" s="169">
        <f t="shared" ref="F57:J57" si="19">1.06*E57</f>
        <v>190800</v>
      </c>
      <c r="G57" s="169">
        <f t="shared" si="19"/>
        <v>202248</v>
      </c>
      <c r="H57" s="169">
        <f t="shared" si="19"/>
        <v>214382.88</v>
      </c>
      <c r="I57" s="169">
        <f t="shared" si="19"/>
        <v>227245.85280000002</v>
      </c>
      <c r="J57" s="169">
        <f t="shared" si="19"/>
        <v>240880.60396800004</v>
      </c>
      <c r="K57" s="38" t="s">
        <v>40</v>
      </c>
      <c r="L57" s="176"/>
      <c r="M57" s="46"/>
      <c r="N57" s="46"/>
      <c r="O57" s="46"/>
      <c r="P57" s="46"/>
      <c r="Q57" s="46"/>
      <c r="R57" s="46"/>
    </row>
    <row r="58" spans="1:18" x14ac:dyDescent="0.2">
      <c r="A58" s="46"/>
      <c r="B58" s="165" t="str">
        <f>+B51</f>
        <v>Proposed facility to acquire</v>
      </c>
      <c r="C58" s="170">
        <v>0</v>
      </c>
      <c r="D58" s="170">
        <v>0</v>
      </c>
      <c r="E58" s="170">
        <v>0</v>
      </c>
      <c r="F58" s="171">
        <v>401280</v>
      </c>
      <c r="G58" s="171">
        <v>476480</v>
      </c>
      <c r="H58" s="171">
        <v>532800</v>
      </c>
      <c r="I58" s="171">
        <v>608000</v>
      </c>
      <c r="J58" s="171">
        <v>636928</v>
      </c>
      <c r="K58" s="38" t="s">
        <v>40</v>
      </c>
      <c r="L58" s="248" t="s">
        <v>199</v>
      </c>
      <c r="M58" s="46"/>
      <c r="N58" s="46"/>
      <c r="O58" s="46"/>
      <c r="P58" s="46"/>
      <c r="Q58" s="46"/>
      <c r="R58" s="46"/>
    </row>
    <row r="59" spans="1:18" x14ac:dyDescent="0.2">
      <c r="A59" s="46"/>
      <c r="B59" s="166"/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38" t="s">
        <v>40</v>
      </c>
      <c r="M59" s="46"/>
      <c r="N59" s="46"/>
      <c r="O59" s="46"/>
      <c r="P59" s="46"/>
      <c r="Q59" s="46"/>
      <c r="R59" s="46"/>
    </row>
    <row r="60" spans="1:18" x14ac:dyDescent="0.2">
      <c r="A60" s="46"/>
      <c r="B60" s="67" t="s">
        <v>69</v>
      </c>
      <c r="C60" s="159">
        <f>IF(C58&gt;0,C57-C58,0)</f>
        <v>0</v>
      </c>
      <c r="D60" s="159">
        <f t="shared" ref="D60:J60" si="20">IF(D58&gt;0,D57-D58,0)</f>
        <v>0</v>
      </c>
      <c r="E60" s="159">
        <f t="shared" si="20"/>
        <v>0</v>
      </c>
      <c r="F60" s="159">
        <f t="shared" si="20"/>
        <v>-210480</v>
      </c>
      <c r="G60" s="159">
        <f t="shared" si="20"/>
        <v>-274232</v>
      </c>
      <c r="H60" s="159">
        <f t="shared" si="20"/>
        <v>-318417.12</v>
      </c>
      <c r="I60" s="159">
        <f t="shared" si="20"/>
        <v>-380754.14720000001</v>
      </c>
      <c r="J60" s="159">
        <f t="shared" si="20"/>
        <v>-396047.39603199996</v>
      </c>
      <c r="K60" s="38" t="s">
        <v>40</v>
      </c>
      <c r="M60" s="46"/>
      <c r="N60" s="46"/>
      <c r="O60" s="46"/>
      <c r="P60" s="46"/>
      <c r="Q60" s="46"/>
      <c r="R60" s="46"/>
    </row>
    <row r="61" spans="1:18" x14ac:dyDescent="0.2">
      <c r="A61" s="46"/>
      <c r="B61" s="67" t="s">
        <v>70</v>
      </c>
      <c r="C61" s="159"/>
      <c r="D61" s="159"/>
      <c r="E61" s="159"/>
      <c r="F61" s="159">
        <f>+E61+F60</f>
        <v>-210480</v>
      </c>
      <c r="G61" s="159">
        <f t="shared" ref="G61:J61" si="21">+F61+G60</f>
        <v>-484712</v>
      </c>
      <c r="H61" s="159">
        <f t="shared" si="21"/>
        <v>-803129.12</v>
      </c>
      <c r="I61" s="159">
        <f t="shared" si="21"/>
        <v>-1183883.2672000001</v>
      </c>
      <c r="J61" s="159">
        <f t="shared" si="21"/>
        <v>-1579930.6632320001</v>
      </c>
      <c r="K61" s="38" t="s">
        <v>40</v>
      </c>
      <c r="M61" s="46"/>
      <c r="N61" s="46"/>
      <c r="O61" s="46"/>
      <c r="P61" s="46"/>
      <c r="Q61" s="46"/>
      <c r="R61" s="46"/>
    </row>
    <row r="62" spans="1:18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38" t="s">
        <v>40</v>
      </c>
      <c r="M62" s="46"/>
      <c r="N62" s="46"/>
      <c r="O62" s="46"/>
      <c r="P62" s="46"/>
      <c r="Q62" s="46"/>
      <c r="R62" s="46"/>
    </row>
    <row r="63" spans="1:18" ht="15.75" x14ac:dyDescent="0.25">
      <c r="A63" s="46"/>
      <c r="B63" s="163"/>
      <c r="C63" s="68"/>
      <c r="D63" s="68"/>
      <c r="E63" s="68"/>
      <c r="F63" s="69" t="s">
        <v>67</v>
      </c>
      <c r="G63" s="48">
        <v>2</v>
      </c>
      <c r="H63" s="48">
        <v>3</v>
      </c>
      <c r="I63" s="48">
        <v>4</v>
      </c>
      <c r="J63" s="48">
        <v>5</v>
      </c>
      <c r="K63" s="38" t="s">
        <v>40</v>
      </c>
      <c r="M63" s="46"/>
      <c r="N63" s="46"/>
      <c r="O63" s="46"/>
      <c r="P63" s="46"/>
      <c r="Q63" s="46"/>
      <c r="R63" s="46"/>
    </row>
    <row r="64" spans="1:18" x14ac:dyDescent="0.2">
      <c r="A64" s="46"/>
      <c r="B64" s="175" t="s">
        <v>71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+F$22</f>
        <v>2024</v>
      </c>
      <c r="G64" s="50">
        <f t="shared" ref="G64" si="22">1+F64</f>
        <v>2025</v>
      </c>
      <c r="H64" s="50">
        <f t="shared" ref="H64" si="23">1+G64</f>
        <v>2026</v>
      </c>
      <c r="I64" s="50">
        <f t="shared" ref="I64" si="24">1+H64</f>
        <v>2027</v>
      </c>
      <c r="J64" s="50">
        <f t="shared" ref="J64" si="25">1+I64</f>
        <v>2028</v>
      </c>
      <c r="K64" s="38" t="s">
        <v>40</v>
      </c>
      <c r="M64" s="46"/>
      <c r="N64" s="46"/>
      <c r="O64" s="46"/>
      <c r="P64" s="46"/>
      <c r="Q64" s="46"/>
      <c r="R64" s="46"/>
    </row>
    <row r="65" spans="1:18" x14ac:dyDescent="0.2">
      <c r="A65" s="46"/>
      <c r="B65" s="164" t="str">
        <f>+B57</f>
        <v>Current facility leased</v>
      </c>
      <c r="C65" s="169"/>
      <c r="D65" s="169"/>
      <c r="E65" s="169">
        <f>18058+32000</f>
        <v>50058</v>
      </c>
      <c r="F65" s="169"/>
      <c r="G65" s="169"/>
      <c r="H65" s="169"/>
      <c r="I65" s="169"/>
      <c r="J65" s="169"/>
      <c r="K65" s="38" t="s">
        <v>40</v>
      </c>
      <c r="M65" s="46"/>
      <c r="N65" s="46"/>
      <c r="O65" s="46"/>
      <c r="P65" s="46"/>
      <c r="Q65" s="46"/>
      <c r="R65" s="46"/>
    </row>
    <row r="66" spans="1:18" x14ac:dyDescent="0.2">
      <c r="A66" s="46"/>
      <c r="B66" s="165" t="str">
        <f>+B58</f>
        <v>Proposed facility to acquire</v>
      </c>
      <c r="C66" s="170"/>
      <c r="D66" s="170"/>
      <c r="E66" s="170"/>
      <c r="F66" s="171">
        <f>36000+16181</f>
        <v>52181</v>
      </c>
      <c r="G66" s="171">
        <f>36720+16225</f>
        <v>52945</v>
      </c>
      <c r="H66" s="171">
        <f>37454+16785</f>
        <v>54239</v>
      </c>
      <c r="I66" s="171">
        <f>38203+17485</f>
        <v>55688</v>
      </c>
      <c r="J66" s="171">
        <f>38968+18360</f>
        <v>57328</v>
      </c>
      <c r="K66" s="38" t="s">
        <v>40</v>
      </c>
      <c r="L66" s="248" t="s">
        <v>199</v>
      </c>
      <c r="M66" s="46"/>
      <c r="N66" s="46"/>
      <c r="O66" s="46"/>
      <c r="P66" s="46"/>
      <c r="Q66" s="46"/>
      <c r="R66" s="46"/>
    </row>
    <row r="67" spans="1:18" x14ac:dyDescent="0.2">
      <c r="A67" s="46"/>
      <c r="B67" s="166" t="s">
        <v>72</v>
      </c>
      <c r="C67" s="172"/>
      <c r="D67" s="172"/>
      <c r="E67" s="172"/>
      <c r="F67" s="172"/>
      <c r="G67" s="172"/>
      <c r="H67" s="172"/>
      <c r="I67" s="172"/>
      <c r="J67" s="172"/>
      <c r="K67" s="38" t="s">
        <v>40</v>
      </c>
      <c r="M67" s="46"/>
      <c r="N67" s="46"/>
      <c r="O67" s="46"/>
      <c r="P67" s="46"/>
      <c r="Q67" s="46"/>
      <c r="R67" s="46"/>
    </row>
    <row r="68" spans="1:18" x14ac:dyDescent="0.2">
      <c r="A68" s="46"/>
      <c r="B68" s="67" t="s">
        <v>73</v>
      </c>
      <c r="C68" s="159">
        <f>IF(C66&gt;0,C65-(C66+C67),0)</f>
        <v>0</v>
      </c>
      <c r="D68" s="159">
        <f t="shared" ref="D68:J68" si="26">IF(D66&gt;0,D65-(D66+D67),0)</f>
        <v>0</v>
      </c>
      <c r="E68" s="159">
        <f t="shared" si="26"/>
        <v>0</v>
      </c>
      <c r="F68" s="159">
        <f t="shared" si="26"/>
        <v>-52181</v>
      </c>
      <c r="G68" s="159">
        <f t="shared" si="26"/>
        <v>-52945</v>
      </c>
      <c r="H68" s="159">
        <f t="shared" si="26"/>
        <v>-54239</v>
      </c>
      <c r="I68" s="159">
        <f t="shared" si="26"/>
        <v>-55688</v>
      </c>
      <c r="J68" s="159">
        <f t="shared" si="26"/>
        <v>-57328</v>
      </c>
      <c r="K68" s="38" t="s">
        <v>40</v>
      </c>
      <c r="M68" s="46"/>
      <c r="N68" s="46"/>
      <c r="O68" s="46"/>
      <c r="P68" s="46"/>
      <c r="Q68" s="46"/>
      <c r="R68" s="46"/>
    </row>
    <row r="69" spans="1:18" x14ac:dyDescent="0.2">
      <c r="A69" s="46"/>
      <c r="B69" s="47"/>
      <c r="C69" s="72"/>
      <c r="D69" s="72"/>
      <c r="E69" s="72"/>
      <c r="F69" s="72"/>
      <c r="G69" s="72"/>
      <c r="H69" s="72"/>
      <c r="I69" s="72"/>
      <c r="J69" s="72"/>
      <c r="K69" s="38" t="s">
        <v>40</v>
      </c>
      <c r="M69" s="46"/>
      <c r="N69" s="46"/>
      <c r="O69" s="46"/>
      <c r="P69" s="46"/>
      <c r="Q69" s="46"/>
      <c r="R69" s="46"/>
    </row>
    <row r="70" spans="1:18" x14ac:dyDescent="0.2">
      <c r="A70" s="46"/>
      <c r="B70" s="173" t="s">
        <v>74</v>
      </c>
      <c r="C70" s="174">
        <f t="shared" ref="C70:E70" si="27">+C60+C68</f>
        <v>0</v>
      </c>
      <c r="D70" s="174">
        <f t="shared" si="27"/>
        <v>0</v>
      </c>
      <c r="E70" s="174">
        <f t="shared" si="27"/>
        <v>0</v>
      </c>
      <c r="F70" s="174">
        <f>+F60+F68</f>
        <v>-262661</v>
      </c>
      <c r="G70" s="174">
        <f>+G60+G68</f>
        <v>-327177</v>
      </c>
      <c r="H70" s="174">
        <f t="shared" ref="H70:J70" si="28">+H60+H68</f>
        <v>-372656.12</v>
      </c>
      <c r="I70" s="174">
        <f t="shared" si="28"/>
        <v>-436442.14720000001</v>
      </c>
      <c r="J70" s="174">
        <f t="shared" si="28"/>
        <v>-453375.39603199996</v>
      </c>
      <c r="K70" s="38" t="s">
        <v>40</v>
      </c>
      <c r="M70" s="46"/>
      <c r="N70" s="46"/>
      <c r="O70" s="46"/>
      <c r="P70" s="46"/>
      <c r="Q70" s="46"/>
      <c r="R70" s="46"/>
    </row>
    <row r="71" spans="1:18" x14ac:dyDescent="0.2">
      <c r="A71" s="46"/>
      <c r="B71" s="67" t="s">
        <v>70</v>
      </c>
      <c r="C71" s="159"/>
      <c r="D71" s="159"/>
      <c r="E71" s="159"/>
      <c r="F71" s="159">
        <f>+E71+F70</f>
        <v>-262661</v>
      </c>
      <c r="G71" s="159">
        <f t="shared" ref="G71" si="29">+F71+G70</f>
        <v>-589838</v>
      </c>
      <c r="H71" s="159">
        <f t="shared" ref="H71" si="30">+G71+H70</f>
        <v>-962494.12</v>
      </c>
      <c r="I71" s="159">
        <f t="shared" ref="I71" si="31">+H71+I70</f>
        <v>-1398936.2672000001</v>
      </c>
      <c r="J71" s="159">
        <f t="shared" ref="J71" si="32">+I71+J70</f>
        <v>-1852311.6632320001</v>
      </c>
      <c r="K71" s="38" t="s">
        <v>40</v>
      </c>
      <c r="M71" s="46"/>
      <c r="N71" s="46"/>
      <c r="O71" s="46"/>
      <c r="P71" s="46"/>
      <c r="Q71" s="46"/>
      <c r="R71" s="46"/>
    </row>
    <row r="72" spans="1:18" x14ac:dyDescent="0.2">
      <c r="A72" s="46"/>
      <c r="B72" s="47"/>
      <c r="C72" s="72"/>
      <c r="D72" s="72"/>
      <c r="E72" s="72"/>
      <c r="F72" s="72"/>
      <c r="G72" s="72"/>
      <c r="H72" s="72"/>
      <c r="I72" s="72"/>
      <c r="J72" s="72"/>
      <c r="K72" s="38" t="s">
        <v>40</v>
      </c>
      <c r="M72" s="46"/>
      <c r="N72" s="46"/>
      <c r="O72" s="46"/>
      <c r="P72" s="46"/>
      <c r="Q72" s="46"/>
      <c r="R72" s="46"/>
    </row>
    <row r="73" spans="1:18" ht="15.75" x14ac:dyDescent="0.25">
      <c r="A73" s="46"/>
      <c r="B73" s="163"/>
      <c r="C73" s="68"/>
      <c r="D73" s="68"/>
      <c r="E73" s="68"/>
      <c r="F73" s="69" t="s">
        <v>67</v>
      </c>
      <c r="G73" s="48">
        <v>2</v>
      </c>
      <c r="H73" s="48">
        <v>3</v>
      </c>
      <c r="I73" s="48">
        <v>4</v>
      </c>
      <c r="J73" s="48">
        <v>5</v>
      </c>
      <c r="K73" s="38" t="s">
        <v>40</v>
      </c>
      <c r="M73" s="46"/>
      <c r="N73" s="46"/>
      <c r="O73" s="46"/>
      <c r="P73" s="46"/>
      <c r="Q73" s="46"/>
      <c r="R73" s="46"/>
    </row>
    <row r="74" spans="1:18" x14ac:dyDescent="0.2">
      <c r="A74" s="46"/>
      <c r="B74" s="175" t="s">
        <v>75</v>
      </c>
      <c r="C74" s="50">
        <f>+D74-1</f>
        <v>2021</v>
      </c>
      <c r="D74" s="50">
        <f>+E74-1</f>
        <v>2022</v>
      </c>
      <c r="E74" s="50">
        <f>+F74-1</f>
        <v>2023</v>
      </c>
      <c r="F74" s="70">
        <f>+F$22</f>
        <v>2024</v>
      </c>
      <c r="G74" s="50">
        <f t="shared" ref="G74" si="33">1+F74</f>
        <v>2025</v>
      </c>
      <c r="H74" s="50">
        <f t="shared" ref="H74" si="34">1+G74</f>
        <v>2026</v>
      </c>
      <c r="I74" s="50">
        <f t="shared" ref="I74" si="35">1+H74</f>
        <v>2027</v>
      </c>
      <c r="J74" s="50">
        <f t="shared" ref="J74" si="36">1+I74</f>
        <v>2028</v>
      </c>
      <c r="K74" s="38" t="s">
        <v>40</v>
      </c>
      <c r="M74" s="46"/>
      <c r="N74" s="46"/>
      <c r="O74" s="46"/>
      <c r="P74" s="46"/>
      <c r="Q74" s="46"/>
      <c r="R74" s="46"/>
    </row>
    <row r="75" spans="1:18" x14ac:dyDescent="0.2">
      <c r="A75" s="46"/>
      <c r="B75" s="164" t="s">
        <v>76</v>
      </c>
      <c r="C75" s="169">
        <f>+C57*1.2</f>
        <v>0</v>
      </c>
      <c r="D75" s="169">
        <f t="shared" ref="D75" si="37">+D57*1.2</f>
        <v>0</v>
      </c>
      <c r="E75" s="169">
        <v>0</v>
      </c>
      <c r="F75" s="169"/>
      <c r="G75" s="169"/>
      <c r="H75" s="169"/>
      <c r="I75" s="169"/>
      <c r="J75" s="169"/>
      <c r="K75" s="38" t="s">
        <v>40</v>
      </c>
      <c r="M75" s="46"/>
      <c r="N75" s="46"/>
      <c r="O75" s="46"/>
      <c r="P75" s="46"/>
      <c r="Q75" s="46"/>
      <c r="R75" s="46"/>
    </row>
    <row r="76" spans="1:18" x14ac:dyDescent="0.2">
      <c r="A76" s="46"/>
      <c r="B76" s="165" t="s">
        <v>77</v>
      </c>
      <c r="C76" s="170">
        <v>0</v>
      </c>
      <c r="D76" s="170">
        <v>0</v>
      </c>
      <c r="E76" s="170">
        <v>0</v>
      </c>
      <c r="F76" s="171"/>
      <c r="G76" s="171"/>
      <c r="H76" s="171"/>
      <c r="I76" s="171"/>
      <c r="J76" s="171"/>
      <c r="K76" s="38" t="s">
        <v>40</v>
      </c>
      <c r="M76" s="46"/>
      <c r="N76" s="46"/>
      <c r="O76" s="46"/>
      <c r="P76" s="46"/>
      <c r="Q76" s="46"/>
      <c r="R76" s="46"/>
    </row>
    <row r="77" spans="1:18" x14ac:dyDescent="0.2">
      <c r="A77" s="46"/>
      <c r="B77" s="165" t="s">
        <v>78</v>
      </c>
      <c r="C77" s="231">
        <f>+C75-C57</f>
        <v>0</v>
      </c>
      <c r="D77" s="231">
        <f t="shared" ref="D77" si="38">+D75-D57</f>
        <v>0</v>
      </c>
      <c r="E77" s="231">
        <v>0</v>
      </c>
      <c r="F77" s="232"/>
      <c r="G77" s="232"/>
      <c r="H77" s="232"/>
      <c r="I77" s="232"/>
      <c r="J77" s="232"/>
      <c r="K77" s="38" t="s">
        <v>40</v>
      </c>
      <c r="M77" s="46"/>
      <c r="N77" s="46"/>
      <c r="O77" s="46"/>
      <c r="P77" s="46"/>
      <c r="Q77" s="46"/>
      <c r="R77" s="46"/>
    </row>
    <row r="78" spans="1:18" x14ac:dyDescent="0.2">
      <c r="A78" s="46"/>
      <c r="B78" s="166" t="s">
        <v>79</v>
      </c>
      <c r="C78" s="172">
        <v>0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38" t="s">
        <v>40</v>
      </c>
      <c r="M78" s="46"/>
      <c r="N78" s="46"/>
      <c r="O78" s="46"/>
      <c r="P78" s="46"/>
      <c r="Q78" s="46"/>
      <c r="R78" s="46"/>
    </row>
    <row r="79" spans="1:18" x14ac:dyDescent="0.2">
      <c r="A79" s="46"/>
      <c r="B79" s="67" t="s">
        <v>80</v>
      </c>
      <c r="C79" s="159">
        <f>+C75-C76-C77-C78</f>
        <v>0</v>
      </c>
      <c r="D79" s="159">
        <f t="shared" ref="D79:J79" si="39">+D75-D76-D77-D78</f>
        <v>0</v>
      </c>
      <c r="E79" s="159">
        <f t="shared" si="39"/>
        <v>0</v>
      </c>
      <c r="F79" s="159">
        <f t="shared" si="39"/>
        <v>0</v>
      </c>
      <c r="G79" s="159">
        <f t="shared" si="39"/>
        <v>0</v>
      </c>
      <c r="H79" s="159">
        <f t="shared" si="39"/>
        <v>0</v>
      </c>
      <c r="I79" s="159">
        <f t="shared" si="39"/>
        <v>0</v>
      </c>
      <c r="J79" s="159">
        <f t="shared" si="39"/>
        <v>0</v>
      </c>
      <c r="K79" s="38" t="s">
        <v>40</v>
      </c>
      <c r="M79" s="46"/>
      <c r="N79" s="46"/>
      <c r="O79" s="46"/>
      <c r="P79" s="46"/>
      <c r="Q79" s="46"/>
      <c r="R79" s="46"/>
    </row>
    <row r="80" spans="1:18" x14ac:dyDescent="0.2">
      <c r="A80" s="46"/>
      <c r="B80" s="67"/>
      <c r="C80" s="159"/>
      <c r="D80" s="159"/>
      <c r="E80" s="159"/>
      <c r="F80" s="159"/>
      <c r="G80" s="159"/>
      <c r="H80" s="159"/>
      <c r="I80" s="159"/>
      <c r="J80" s="159"/>
      <c r="K80" s="38" t="s">
        <v>40</v>
      </c>
      <c r="M80" s="46"/>
      <c r="N80" s="46"/>
      <c r="O80" s="46"/>
      <c r="P80" s="46"/>
      <c r="Q80" s="46"/>
      <c r="R80" s="46"/>
    </row>
    <row r="81" spans="1:18" x14ac:dyDescent="0.2">
      <c r="A81" s="46"/>
      <c r="B81" s="47"/>
      <c r="C81" s="68"/>
      <c r="D81" s="68"/>
      <c r="E81" s="68"/>
      <c r="F81" s="195" t="s">
        <v>62</v>
      </c>
      <c r="G81" s="196">
        <v>2</v>
      </c>
      <c r="H81" s="196">
        <v>3</v>
      </c>
      <c r="I81" s="196">
        <v>4</v>
      </c>
      <c r="J81" s="196">
        <v>5</v>
      </c>
      <c r="K81" s="38" t="s">
        <v>40</v>
      </c>
      <c r="M81" s="46"/>
      <c r="N81" s="46"/>
      <c r="O81" s="46"/>
      <c r="P81" s="46"/>
      <c r="Q81" s="46"/>
      <c r="R81" s="46"/>
    </row>
    <row r="82" spans="1:18" x14ac:dyDescent="0.2">
      <c r="A82" s="46"/>
      <c r="B82" s="49" t="s">
        <v>81</v>
      </c>
      <c r="C82" s="50">
        <f>+D82-1</f>
        <v>2021</v>
      </c>
      <c r="D82" s="50">
        <f>+E82-1</f>
        <v>2022</v>
      </c>
      <c r="E82" s="50">
        <f>+F82-1</f>
        <v>2023</v>
      </c>
      <c r="F82" s="70">
        <f>+F$22</f>
        <v>2024</v>
      </c>
      <c r="G82" s="50">
        <f t="shared" ref="G82" si="40">1+F82</f>
        <v>2025</v>
      </c>
      <c r="H82" s="50">
        <f t="shared" ref="H82" si="41">1+G82</f>
        <v>2026</v>
      </c>
      <c r="I82" s="50">
        <f t="shared" ref="I82" si="42">1+H82</f>
        <v>2027</v>
      </c>
      <c r="J82" s="50">
        <f t="shared" ref="J82" si="43">1+I82</f>
        <v>2028</v>
      </c>
      <c r="K82" s="38" t="s">
        <v>40</v>
      </c>
      <c r="M82" s="46"/>
      <c r="N82" s="46"/>
      <c r="O82" s="46"/>
      <c r="P82" s="46"/>
      <c r="Q82" s="46"/>
      <c r="R82" s="46"/>
    </row>
    <row r="83" spans="1:18" x14ac:dyDescent="0.2">
      <c r="A83" s="46"/>
      <c r="B83" s="47" t="s">
        <v>82</v>
      </c>
      <c r="C83" s="155">
        <f t="shared" ref="C83:J83" si="44">IFERROR(C57/C$50/12,0)</f>
        <v>0</v>
      </c>
      <c r="D83" s="155">
        <f t="shared" si="44"/>
        <v>0</v>
      </c>
      <c r="E83" s="155">
        <f t="shared" si="44"/>
        <v>0</v>
      </c>
      <c r="F83" s="155">
        <f t="shared" si="44"/>
        <v>0</v>
      </c>
      <c r="G83" s="155">
        <f t="shared" si="44"/>
        <v>0</v>
      </c>
      <c r="H83" s="155">
        <f t="shared" si="44"/>
        <v>0</v>
      </c>
      <c r="I83" s="155">
        <f t="shared" si="44"/>
        <v>0</v>
      </c>
      <c r="J83" s="155">
        <f t="shared" si="44"/>
        <v>0</v>
      </c>
      <c r="K83" s="38" t="s">
        <v>40</v>
      </c>
      <c r="M83" s="46"/>
      <c r="N83" s="46"/>
      <c r="O83" s="46"/>
      <c r="P83" s="46"/>
      <c r="Q83" s="46"/>
      <c r="R83" s="46"/>
    </row>
    <row r="84" spans="1:18" x14ac:dyDescent="0.2">
      <c r="A84" s="46"/>
      <c r="B84" s="47" t="s">
        <v>83</v>
      </c>
      <c r="C84" s="155">
        <f t="shared" ref="C84:E84" si="45">IFERROR(C58/C51/12,0)</f>
        <v>0</v>
      </c>
      <c r="D84" s="155">
        <f t="shared" si="45"/>
        <v>0</v>
      </c>
      <c r="E84" s="155">
        <f t="shared" si="45"/>
        <v>0</v>
      </c>
      <c r="F84" s="155">
        <f>IFERROR(F58/F51/12,0)</f>
        <v>0.9554285714285714</v>
      </c>
      <c r="G84" s="155">
        <f t="shared" ref="G84:J84" si="46">IFERROR(G58/G51/12,0)</f>
        <v>1.1344761904761904</v>
      </c>
      <c r="H84" s="155">
        <f t="shared" si="46"/>
        <v>1.2685714285714285</v>
      </c>
      <c r="I84" s="155">
        <f t="shared" si="46"/>
        <v>1.4476190476190476</v>
      </c>
      <c r="J84" s="155">
        <f t="shared" si="46"/>
        <v>1.5164952380952379</v>
      </c>
      <c r="K84" s="38" t="s">
        <v>40</v>
      </c>
      <c r="M84" s="46"/>
      <c r="N84" s="46"/>
      <c r="O84" s="46"/>
      <c r="P84" s="46"/>
      <c r="Q84" s="46"/>
      <c r="R84" s="46"/>
    </row>
    <row r="85" spans="1:18" x14ac:dyDescent="0.2">
      <c r="A85" s="46"/>
      <c r="B85" s="47" t="s">
        <v>84</v>
      </c>
      <c r="C85" s="155">
        <f>+C83*12</f>
        <v>0</v>
      </c>
      <c r="D85" s="155">
        <f t="shared" ref="D85:J85" si="47">+D83*12</f>
        <v>0</v>
      </c>
      <c r="E85" s="155">
        <f t="shared" si="47"/>
        <v>0</v>
      </c>
      <c r="F85" s="155">
        <f t="shared" si="47"/>
        <v>0</v>
      </c>
      <c r="G85" s="155">
        <f t="shared" si="47"/>
        <v>0</v>
      </c>
      <c r="H85" s="155">
        <f t="shared" si="47"/>
        <v>0</v>
      </c>
      <c r="I85" s="155">
        <f t="shared" si="47"/>
        <v>0</v>
      </c>
      <c r="J85" s="155">
        <f t="shared" si="47"/>
        <v>0</v>
      </c>
      <c r="K85" s="38" t="s">
        <v>40</v>
      </c>
      <c r="M85" s="46"/>
      <c r="N85" s="46"/>
      <c r="O85" s="46"/>
      <c r="P85" s="46"/>
      <c r="Q85" s="46"/>
      <c r="R85" s="46"/>
    </row>
    <row r="86" spans="1:18" x14ac:dyDescent="0.2">
      <c r="A86" s="46"/>
      <c r="B86" s="47" t="s">
        <v>85</v>
      </c>
      <c r="C86" s="155">
        <f t="shared" ref="C86:J86" si="48">+C84*12</f>
        <v>0</v>
      </c>
      <c r="D86" s="155">
        <f t="shared" si="48"/>
        <v>0</v>
      </c>
      <c r="E86" s="155">
        <f t="shared" si="48"/>
        <v>0</v>
      </c>
      <c r="F86" s="155">
        <f t="shared" si="48"/>
        <v>11.465142857142856</v>
      </c>
      <c r="G86" s="155">
        <f t="shared" si="48"/>
        <v>13.613714285714284</v>
      </c>
      <c r="H86" s="155">
        <f t="shared" si="48"/>
        <v>15.222857142857141</v>
      </c>
      <c r="I86" s="155">
        <f t="shared" si="48"/>
        <v>17.37142857142857</v>
      </c>
      <c r="J86" s="155">
        <f t="shared" si="48"/>
        <v>18.197942857142856</v>
      </c>
      <c r="K86" s="38" t="s">
        <v>40</v>
      </c>
      <c r="M86" s="46"/>
      <c r="N86" s="46"/>
      <c r="O86" s="46"/>
      <c r="P86" s="46"/>
      <c r="Q86" s="46"/>
      <c r="R86" s="46"/>
    </row>
    <row r="87" spans="1:18" x14ac:dyDescent="0.2">
      <c r="A87" s="46"/>
      <c r="B87" s="47"/>
      <c r="C87" s="155"/>
      <c r="D87" s="155"/>
      <c r="E87" s="155"/>
      <c r="F87" s="155"/>
      <c r="G87" s="155"/>
      <c r="H87" s="155"/>
      <c r="I87" s="155"/>
      <c r="J87" s="155"/>
      <c r="K87" s="38" t="s">
        <v>40</v>
      </c>
      <c r="M87" s="46"/>
      <c r="N87" s="46"/>
      <c r="O87" s="46"/>
      <c r="P87" s="46"/>
      <c r="Q87" s="46"/>
      <c r="R87" s="46"/>
    </row>
    <row r="88" spans="1:18" x14ac:dyDescent="0.2">
      <c r="A88" s="46"/>
      <c r="B88" s="56" t="s">
        <v>86</v>
      </c>
      <c r="C88" s="161">
        <f t="shared" ref="C88:J89" si="49">IFERROR(C57/C$33,0)</f>
        <v>0</v>
      </c>
      <c r="D88" s="161">
        <f t="shared" si="49"/>
        <v>0</v>
      </c>
      <c r="E88" s="161">
        <f t="shared" si="49"/>
        <v>7.6671388346332331E-2</v>
      </c>
      <c r="F88" s="161">
        <f t="shared" si="49"/>
        <v>6.0275847297395914E-2</v>
      </c>
      <c r="G88" s="161">
        <f t="shared" si="49"/>
        <v>5.0673938730656017E-2</v>
      </c>
      <c r="H88" s="161">
        <f t="shared" si="49"/>
        <v>4.8829063448003487E-2</v>
      </c>
      <c r="I88" s="161">
        <f t="shared" si="49"/>
        <v>4.8050997533654292E-2</v>
      </c>
      <c r="J88" s="161">
        <f t="shared" si="49"/>
        <v>4.752891011873122E-2</v>
      </c>
      <c r="K88" s="38" t="s">
        <v>40</v>
      </c>
      <c r="M88" s="46"/>
      <c r="N88" s="46"/>
      <c r="O88" s="46"/>
      <c r="P88" s="46"/>
      <c r="Q88" s="46"/>
      <c r="R88" s="46"/>
    </row>
    <row r="89" spans="1:18" x14ac:dyDescent="0.2">
      <c r="A89" s="46"/>
      <c r="B89" s="47" t="s">
        <v>87</v>
      </c>
      <c r="C89" s="162">
        <f t="shared" si="49"/>
        <v>0</v>
      </c>
      <c r="D89" s="162">
        <f t="shared" si="49"/>
        <v>0</v>
      </c>
      <c r="E89" s="162">
        <f t="shared" si="49"/>
        <v>0</v>
      </c>
      <c r="F89" s="162">
        <f t="shared" si="49"/>
        <v>0.12676882601414588</v>
      </c>
      <c r="G89" s="162">
        <f t="shared" si="49"/>
        <v>0.11938371863446352</v>
      </c>
      <c r="H89" s="162">
        <f t="shared" si="49"/>
        <v>0.12135355680032033</v>
      </c>
      <c r="I89" s="162">
        <f t="shared" si="49"/>
        <v>0.12856123066929653</v>
      </c>
      <c r="J89" s="162">
        <f t="shared" si="49"/>
        <v>0.12567426835298376</v>
      </c>
      <c r="K89" s="38" t="s">
        <v>40</v>
      </c>
      <c r="M89" s="46"/>
      <c r="N89" s="46"/>
      <c r="O89" s="46"/>
      <c r="P89" s="46"/>
      <c r="Q89" s="46"/>
      <c r="R89" s="46"/>
    </row>
    <row r="90" spans="1:18" x14ac:dyDescent="0.2">
      <c r="A90" s="46"/>
      <c r="B90" s="67"/>
      <c r="C90" s="158"/>
      <c r="D90" s="158"/>
      <c r="E90" s="158"/>
      <c r="F90" s="158"/>
      <c r="G90" s="158"/>
      <c r="H90" s="158"/>
      <c r="I90" s="158"/>
      <c r="J90" s="158"/>
      <c r="K90" s="38" t="s">
        <v>40</v>
      </c>
      <c r="M90" s="46"/>
      <c r="N90" s="46"/>
      <c r="O90" s="46"/>
      <c r="P90" s="46"/>
      <c r="Q90" s="46"/>
      <c r="R90" s="46"/>
    </row>
    <row r="91" spans="1:18" x14ac:dyDescent="0.2">
      <c r="A91" s="46"/>
      <c r="B91" s="56" t="s">
        <v>88</v>
      </c>
      <c r="C91" s="160">
        <f>IFERROR(C57/#REF!-1,0)</f>
        <v>0</v>
      </c>
      <c r="D91" s="160">
        <f t="shared" ref="D91:J92" si="50">IFERROR(D57/C57-1,0)</f>
        <v>0</v>
      </c>
      <c r="E91" s="160">
        <f t="shared" si="50"/>
        <v>0</v>
      </c>
      <c r="F91" s="160">
        <f t="shared" si="50"/>
        <v>6.0000000000000053E-2</v>
      </c>
      <c r="G91" s="160">
        <f t="shared" si="50"/>
        <v>6.0000000000000053E-2</v>
      </c>
      <c r="H91" s="160">
        <f t="shared" si="50"/>
        <v>6.0000000000000053E-2</v>
      </c>
      <c r="I91" s="160">
        <f t="shared" si="50"/>
        <v>6.0000000000000053E-2</v>
      </c>
      <c r="J91" s="160">
        <f t="shared" si="50"/>
        <v>6.0000000000000053E-2</v>
      </c>
      <c r="K91" s="38" t="s">
        <v>40</v>
      </c>
      <c r="M91" s="46"/>
      <c r="N91" s="46"/>
      <c r="O91" s="46"/>
      <c r="P91" s="46"/>
      <c r="Q91" s="46"/>
      <c r="R91" s="46"/>
    </row>
    <row r="92" spans="1:18" x14ac:dyDescent="0.2">
      <c r="A92" s="46"/>
      <c r="B92" s="47" t="s">
        <v>30</v>
      </c>
      <c r="C92" s="73">
        <f>IFERROR(C58/#REF!-1,0)</f>
        <v>0</v>
      </c>
      <c r="D92" s="73">
        <f t="shared" si="50"/>
        <v>0</v>
      </c>
      <c r="E92" s="73">
        <f t="shared" si="50"/>
        <v>0</v>
      </c>
      <c r="F92" s="73">
        <f t="shared" si="50"/>
        <v>0</v>
      </c>
      <c r="G92" s="73">
        <f t="shared" si="50"/>
        <v>0.18740031897926634</v>
      </c>
      <c r="H92" s="73">
        <f t="shared" si="50"/>
        <v>0.11820013431833454</v>
      </c>
      <c r="I92" s="73">
        <f t="shared" si="50"/>
        <v>0.14114114114114118</v>
      </c>
      <c r="J92" s="73">
        <f t="shared" si="50"/>
        <v>4.7578947368420943E-2</v>
      </c>
      <c r="K92" s="38" t="s">
        <v>40</v>
      </c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38" t="s">
        <v>40</v>
      </c>
      <c r="M93" s="46"/>
      <c r="N93" s="46"/>
      <c r="O93" s="46"/>
      <c r="P93" s="46"/>
      <c r="Q93" s="46"/>
      <c r="R93" s="46"/>
    </row>
    <row r="94" spans="1:18" x14ac:dyDescent="0.2">
      <c r="A94" s="46"/>
      <c r="B94" s="47" t="s">
        <v>89</v>
      </c>
      <c r="C94" s="228" t="e">
        <f>IF(C25&gt;0,C50/C25,C51/C26)</f>
        <v>#DIV/0!</v>
      </c>
      <c r="D94" s="228" t="e">
        <f t="shared" ref="D94:J94" si="51">IF(D25&gt;0,D50/D25,D51/D26)</f>
        <v>#DIV/0!</v>
      </c>
      <c r="E94" s="228">
        <f t="shared" si="51"/>
        <v>0</v>
      </c>
      <c r="F94" s="228">
        <f t="shared" si="51"/>
        <v>116.66666666666667</v>
      </c>
      <c r="G94" s="228">
        <f t="shared" si="51"/>
        <v>95.62841530054645</v>
      </c>
      <c r="H94" s="228">
        <f t="shared" si="51"/>
        <v>88.383838383838381</v>
      </c>
      <c r="I94" s="228">
        <f t="shared" si="51"/>
        <v>82.159624413145536</v>
      </c>
      <c r="J94" s="228">
        <f t="shared" si="51"/>
        <v>76.754385964912274</v>
      </c>
      <c r="K94" s="38" t="s">
        <v>40</v>
      </c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38" t="s">
        <v>40</v>
      </c>
      <c r="M95" s="46"/>
      <c r="N95" s="46"/>
      <c r="O95" s="46"/>
      <c r="P95" s="46"/>
      <c r="Q95" s="46"/>
      <c r="R95" s="46"/>
    </row>
    <row r="96" spans="1:18" x14ac:dyDescent="0.2">
      <c r="A96" s="46"/>
      <c r="B96" s="230" t="s">
        <v>90</v>
      </c>
      <c r="C96" s="73"/>
      <c r="D96" s="73"/>
      <c r="E96" s="73"/>
      <c r="F96" s="73"/>
      <c r="G96" s="73"/>
      <c r="H96" s="73"/>
      <c r="I96" s="73"/>
      <c r="J96" s="73"/>
      <c r="K96" s="38" t="s">
        <v>40</v>
      </c>
      <c r="M96" s="46"/>
      <c r="N96" s="46"/>
      <c r="O96" s="46"/>
      <c r="P96" s="46"/>
      <c r="Q96" s="46"/>
      <c r="R96" s="46"/>
    </row>
    <row r="97" spans="1:18" x14ac:dyDescent="0.2">
      <c r="A97" s="46"/>
      <c r="B97" s="230" t="s">
        <v>91</v>
      </c>
      <c r="C97" s="73"/>
      <c r="D97" s="73"/>
      <c r="E97" s="73"/>
      <c r="F97" s="73"/>
      <c r="G97" s="73"/>
      <c r="H97" s="73"/>
      <c r="I97" s="73"/>
      <c r="J97" s="73"/>
      <c r="K97" s="38" t="s">
        <v>40</v>
      </c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38" t="s">
        <v>40</v>
      </c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73"/>
      <c r="D113" s="73"/>
      <c r="E113" s="73"/>
      <c r="F113" s="73"/>
      <c r="G113" s="73"/>
      <c r="H113" s="73"/>
      <c r="I113" s="73"/>
      <c r="J113" s="73"/>
      <c r="K113" s="42"/>
      <c r="M113" s="46"/>
      <c r="N113" s="46"/>
      <c r="O113" s="46"/>
      <c r="P113" s="46"/>
      <c r="Q113" s="46"/>
      <c r="R113" s="46"/>
    </row>
    <row r="114" spans="1:18" x14ac:dyDescent="0.2">
      <c r="A114" s="46"/>
      <c r="B114" s="47"/>
      <c r="C114" s="73"/>
      <c r="D114" s="73"/>
      <c r="E114" s="73"/>
      <c r="F114" s="73"/>
      <c r="G114" s="73"/>
      <c r="H114" s="73"/>
      <c r="I114" s="73"/>
      <c r="J114" s="73"/>
      <c r="K114" s="42"/>
      <c r="M114" s="46"/>
      <c r="N114" s="46"/>
      <c r="O114" s="46"/>
      <c r="P114" s="46"/>
      <c r="Q114" s="46"/>
      <c r="R114" s="46"/>
    </row>
    <row r="115" spans="1:18" x14ac:dyDescent="0.2">
      <c r="A115" s="46"/>
      <c r="B115" s="47"/>
      <c r="C115" s="73"/>
      <c r="D115" s="73"/>
      <c r="E115" s="73"/>
      <c r="F115" s="73"/>
      <c r="G115" s="73"/>
      <c r="H115" s="73"/>
      <c r="I115" s="73"/>
      <c r="J115" s="73"/>
      <c r="K115" s="42"/>
      <c r="M115" s="46"/>
      <c r="N115" s="46"/>
      <c r="O115" s="46"/>
      <c r="P115" s="46"/>
      <c r="Q115" s="46"/>
      <c r="R115" s="46"/>
    </row>
    <row r="116" spans="1:18" x14ac:dyDescent="0.2">
      <c r="A116" s="46"/>
      <c r="B116" s="47"/>
      <c r="C116" s="73"/>
      <c r="D116" s="73"/>
      <c r="E116" s="73"/>
      <c r="F116" s="73"/>
      <c r="G116" s="73"/>
      <c r="H116" s="73"/>
      <c r="I116" s="73"/>
      <c r="J116" s="73"/>
      <c r="K116" s="42"/>
      <c r="M116" s="46"/>
      <c r="N116" s="46"/>
      <c r="O116" s="46"/>
      <c r="P116" s="46"/>
      <c r="Q116" s="46"/>
      <c r="R116" s="46"/>
    </row>
    <row r="117" spans="1:18" x14ac:dyDescent="0.2">
      <c r="A117" s="46"/>
      <c r="B117" s="47"/>
      <c r="C117" s="73"/>
      <c r="D117" s="73"/>
      <c r="E117" s="73"/>
      <c r="F117" s="73"/>
      <c r="G117" s="73"/>
      <c r="H117" s="73"/>
      <c r="I117" s="73"/>
      <c r="J117" s="73"/>
      <c r="K117" s="42"/>
      <c r="M117" s="46"/>
      <c r="N117" s="46"/>
      <c r="O117" s="46"/>
      <c r="P117" s="46"/>
      <c r="Q117" s="46"/>
      <c r="R117" s="46"/>
    </row>
    <row r="118" spans="1:18" x14ac:dyDescent="0.2">
      <c r="A118" s="46"/>
      <c r="B118" s="47"/>
      <c r="C118" s="73"/>
      <c r="D118" s="73"/>
      <c r="E118" s="73"/>
      <c r="F118" s="73"/>
      <c r="G118" s="73"/>
      <c r="H118" s="73"/>
      <c r="I118" s="73"/>
      <c r="J118" s="73"/>
      <c r="K118" s="42"/>
      <c r="M118" s="46"/>
      <c r="N118" s="46"/>
      <c r="O118" s="46"/>
      <c r="P118" s="46"/>
      <c r="Q118" s="46"/>
      <c r="R118" s="46"/>
    </row>
    <row r="119" spans="1:18" x14ac:dyDescent="0.2">
      <c r="A119" s="46"/>
      <c r="B119" s="47"/>
      <c r="C119" s="73"/>
      <c r="D119" s="73"/>
      <c r="E119" s="73"/>
      <c r="F119" s="73"/>
      <c r="G119" s="73"/>
      <c r="H119" s="73"/>
      <c r="I119" s="73"/>
      <c r="J119" s="73"/>
      <c r="K119" s="42"/>
      <c r="M119" s="46"/>
      <c r="N119" s="46"/>
      <c r="O119" s="46"/>
      <c r="P119" s="46"/>
      <c r="Q119" s="46"/>
      <c r="R119" s="46"/>
    </row>
    <row r="120" spans="1:18" x14ac:dyDescent="0.2">
      <c r="A120" s="46"/>
      <c r="B120" s="47"/>
      <c r="C120" s="73"/>
      <c r="D120" s="73"/>
      <c r="E120" s="73"/>
      <c r="F120" s="73"/>
      <c r="G120" s="73"/>
      <c r="H120" s="73"/>
      <c r="I120" s="73"/>
      <c r="J120" s="73"/>
      <c r="K120" s="42"/>
      <c r="M120" s="46"/>
      <c r="N120" s="46"/>
      <c r="O120" s="46"/>
      <c r="P120" s="46"/>
      <c r="Q120" s="46"/>
      <c r="R120" s="46"/>
    </row>
    <row r="121" spans="1:18" x14ac:dyDescent="0.2">
      <c r="A121" s="46"/>
      <c r="B121" s="47"/>
      <c r="C121" s="73"/>
      <c r="D121" s="73"/>
      <c r="E121" s="73"/>
      <c r="F121" s="73"/>
      <c r="G121" s="73"/>
      <c r="H121" s="73"/>
      <c r="I121" s="73"/>
      <c r="J121" s="73"/>
      <c r="K121" s="42"/>
      <c r="M121" s="46"/>
      <c r="N121" s="46"/>
      <c r="O121" s="46"/>
      <c r="P121" s="46"/>
      <c r="Q121" s="46"/>
      <c r="R121" s="46"/>
    </row>
    <row r="122" spans="1:18" x14ac:dyDescent="0.2">
      <c r="A122" s="46"/>
      <c r="B122" s="47"/>
      <c r="C122" s="73"/>
      <c r="D122" s="73"/>
      <c r="E122" s="73"/>
      <c r="F122" s="73"/>
      <c r="G122" s="73"/>
      <c r="H122" s="73"/>
      <c r="I122" s="73"/>
      <c r="J122" s="73"/>
      <c r="K122" s="42"/>
      <c r="M122" s="46"/>
      <c r="N122" s="46"/>
      <c r="O122" s="46"/>
      <c r="P122" s="46"/>
      <c r="Q122" s="46"/>
      <c r="R122" s="46"/>
    </row>
    <row r="123" spans="1:18" x14ac:dyDescent="0.2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9" t="s">
        <v>24</v>
      </c>
      <c r="C124" s="50"/>
      <c r="D124" s="50"/>
      <c r="E124" s="50"/>
      <c r="F124" s="50"/>
      <c r="G124" s="50"/>
      <c r="H124" s="50"/>
      <c r="I124" s="50"/>
      <c r="J124" s="50"/>
      <c r="K124" s="42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75" t="str">
        <f>+B51</f>
        <v>Proposed facility to acquire</v>
      </c>
      <c r="C125" s="53">
        <v>0</v>
      </c>
      <c r="D125" s="53">
        <v>0</v>
      </c>
      <c r="E125" s="53">
        <v>0</v>
      </c>
      <c r="F125" s="52">
        <v>300000</v>
      </c>
      <c r="G125" s="52">
        <v>310000</v>
      </c>
      <c r="H125" s="52">
        <v>320000</v>
      </c>
      <c r="I125" s="52">
        <v>330000</v>
      </c>
      <c r="J125" s="52">
        <v>340000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76"/>
      <c r="C126" s="77">
        <v>0</v>
      </c>
      <c r="D126" s="77">
        <v>0</v>
      </c>
      <c r="E126" s="77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76"/>
      <c r="C127" s="77">
        <v>0</v>
      </c>
      <c r="D127" s="77">
        <v>0</v>
      </c>
      <c r="E127" s="77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76"/>
      <c r="C128" s="77">
        <v>0</v>
      </c>
      <c r="D128" s="77">
        <v>0</v>
      </c>
      <c r="E128" s="77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78">
        <f>+B59</f>
        <v>0</v>
      </c>
      <c r="C129" s="80">
        <v>0</v>
      </c>
      <c r="D129" s="80">
        <v>0</v>
      </c>
      <c r="E129" s="80">
        <v>0</v>
      </c>
      <c r="F129" s="79"/>
      <c r="G129" s="79"/>
      <c r="H129" s="79"/>
      <c r="I129" s="79"/>
      <c r="J129" s="79"/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47" t="s">
        <v>25</v>
      </c>
      <c r="C130" s="72">
        <f t="shared" ref="C130:J130" si="52">SUM(C125:C129)</f>
        <v>0</v>
      </c>
      <c r="D130" s="72">
        <f t="shared" si="52"/>
        <v>0</v>
      </c>
      <c r="E130" s="72">
        <f t="shared" si="52"/>
        <v>0</v>
      </c>
      <c r="F130" s="72">
        <f t="shared" si="52"/>
        <v>300000</v>
      </c>
      <c r="G130" s="72">
        <f t="shared" si="52"/>
        <v>310000</v>
      </c>
      <c r="H130" s="72">
        <f t="shared" si="52"/>
        <v>320000</v>
      </c>
      <c r="I130" s="72">
        <f t="shared" si="52"/>
        <v>330000</v>
      </c>
      <c r="J130" s="72">
        <f t="shared" si="52"/>
        <v>340000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 t="s">
        <v>26</v>
      </c>
      <c r="C131" s="155">
        <f t="shared" ref="C131:J131" si="53">IF(C51&gt;0,C130/C51/12,0)</f>
        <v>0</v>
      </c>
      <c r="D131" s="155">
        <f t="shared" si="53"/>
        <v>0</v>
      </c>
      <c r="E131" s="155">
        <f t="shared" si="53"/>
        <v>0</v>
      </c>
      <c r="F131" s="155">
        <f t="shared" si="53"/>
        <v>0.7142857142857143</v>
      </c>
      <c r="G131" s="155">
        <f t="shared" si="53"/>
        <v>0.73809523809523814</v>
      </c>
      <c r="H131" s="155">
        <f t="shared" si="53"/>
        <v>0.76190476190476186</v>
      </c>
      <c r="I131" s="155">
        <f t="shared" si="53"/>
        <v>0.7857142857142857</v>
      </c>
      <c r="J131" s="155">
        <f t="shared" si="53"/>
        <v>0.80952380952380942</v>
      </c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/>
      <c r="C132" s="72"/>
      <c r="D132" s="72"/>
      <c r="E132" s="72"/>
      <c r="F132" s="72"/>
      <c r="G132" s="72"/>
      <c r="H132" s="72"/>
      <c r="I132" s="72"/>
      <c r="J132" s="72"/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9" t="s">
        <v>27</v>
      </c>
      <c r="C133" s="50"/>
      <c r="D133" s="50"/>
      <c r="E133" s="50"/>
      <c r="F133" s="50"/>
      <c r="G133" s="50"/>
      <c r="H133" s="50"/>
      <c r="I133" s="50"/>
      <c r="J133" s="50"/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81" t="s">
        <v>28</v>
      </c>
      <c r="C134" s="146" t="e">
        <f>+#REF!*C33</f>
        <v>#REF!</v>
      </c>
      <c r="D134" s="146" t="e">
        <f>+#REF!*D33</f>
        <v>#REF!</v>
      </c>
      <c r="E134" s="146" t="e">
        <f>+#REF!*E33</f>
        <v>#REF!</v>
      </c>
      <c r="F134" s="146" t="e">
        <f>+#REF!*F33</f>
        <v>#REF!</v>
      </c>
      <c r="G134" s="146" t="e">
        <f>+#REF!*G33</f>
        <v>#REF!</v>
      </c>
      <c r="H134" s="146" t="e">
        <f>+#REF!*H33</f>
        <v>#REF!</v>
      </c>
      <c r="I134" s="146" t="e">
        <f>+#REF!*I33</f>
        <v>#REF!</v>
      </c>
      <c r="J134" s="146" t="e">
        <f>+#REF!*J33</f>
        <v>#REF!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B135" s="67" t="s">
        <v>29</v>
      </c>
      <c r="C135" s="67"/>
      <c r="D135" s="67"/>
      <c r="E135" s="154">
        <f t="shared" ref="E135:J135" si="54">IFERROR(E130/E33,0)</f>
        <v>0</v>
      </c>
      <c r="F135" s="154">
        <f t="shared" si="54"/>
        <v>9.4773344807226281E-2</v>
      </c>
      <c r="G135" s="154">
        <f t="shared" si="54"/>
        <v>7.7671576512516147E-2</v>
      </c>
      <c r="H135" s="154">
        <f t="shared" si="54"/>
        <v>7.2885019099291487E-2</v>
      </c>
      <c r="I135" s="154">
        <f t="shared" si="54"/>
        <v>6.9778299540901076E-2</v>
      </c>
      <c r="J135" s="154">
        <f t="shared" si="54"/>
        <v>6.7086470119094271E-2</v>
      </c>
      <c r="K135" s="42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 t="s">
        <v>30</v>
      </c>
      <c r="C136" s="73"/>
      <c r="D136" s="73">
        <f t="shared" ref="D136:J136" si="55">IFERROR(D130/C130-1,0)</f>
        <v>0</v>
      </c>
      <c r="E136" s="73">
        <f t="shared" si="55"/>
        <v>0</v>
      </c>
      <c r="F136" s="73">
        <f t="shared" si="55"/>
        <v>0</v>
      </c>
      <c r="G136" s="73">
        <f t="shared" si="55"/>
        <v>3.3333333333333437E-2</v>
      </c>
      <c r="H136" s="73">
        <f t="shared" si="55"/>
        <v>3.2258064516129004E-2</v>
      </c>
      <c r="I136" s="73">
        <f t="shared" si="55"/>
        <v>3.125E-2</v>
      </c>
      <c r="J136" s="73">
        <f t="shared" si="55"/>
        <v>3.0303030303030276E-2</v>
      </c>
      <c r="K136" s="42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K137" s="42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tr">
        <f>+B60</f>
        <v>Savings (Cost increase)/yr</v>
      </c>
      <c r="C138" s="72">
        <f t="shared" ref="C138:J138" si="56">+C60</f>
        <v>0</v>
      </c>
      <c r="D138" s="72">
        <f t="shared" si="56"/>
        <v>0</v>
      </c>
      <c r="E138" s="72">
        <f t="shared" si="56"/>
        <v>0</v>
      </c>
      <c r="F138" s="72">
        <f t="shared" si="56"/>
        <v>-210480</v>
      </c>
      <c r="G138" s="72">
        <f t="shared" si="56"/>
        <v>-274232</v>
      </c>
      <c r="H138" s="72">
        <f t="shared" si="56"/>
        <v>-318417.12</v>
      </c>
      <c r="I138" s="72">
        <f t="shared" si="56"/>
        <v>-380754.14720000001</v>
      </c>
      <c r="J138" s="72">
        <f t="shared" si="56"/>
        <v>-396047.39603199996</v>
      </c>
      <c r="K138" s="42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47" t="str">
        <f>+B130</f>
        <v>Total Acquisition Payments</v>
      </c>
      <c r="C139" s="47">
        <f t="shared" ref="C139:J139" si="57">+C130</f>
        <v>0</v>
      </c>
      <c r="D139" s="47">
        <f t="shared" si="57"/>
        <v>0</v>
      </c>
      <c r="E139" s="47">
        <f t="shared" si="57"/>
        <v>0</v>
      </c>
      <c r="F139" s="47">
        <f t="shared" si="57"/>
        <v>300000</v>
      </c>
      <c r="G139" s="47">
        <f t="shared" si="57"/>
        <v>310000</v>
      </c>
      <c r="H139" s="47">
        <f t="shared" si="57"/>
        <v>320000</v>
      </c>
      <c r="I139" s="47">
        <f t="shared" si="57"/>
        <v>330000</v>
      </c>
      <c r="J139" s="47">
        <f t="shared" si="57"/>
        <v>340000</v>
      </c>
      <c r="K139" s="42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56" t="s">
        <v>31</v>
      </c>
      <c r="C140" s="153">
        <f>IF(C139&gt;0,C138-C139,0)</f>
        <v>0</v>
      </c>
      <c r="D140" s="153">
        <f t="shared" ref="D140:J140" si="58">IF(D139&gt;0,D138-D139,0)</f>
        <v>0</v>
      </c>
      <c r="E140" s="153">
        <f t="shared" si="58"/>
        <v>0</v>
      </c>
      <c r="F140" s="153">
        <f t="shared" si="58"/>
        <v>-510480</v>
      </c>
      <c r="G140" s="153">
        <f t="shared" si="58"/>
        <v>-584232</v>
      </c>
      <c r="H140" s="153">
        <f t="shared" si="58"/>
        <v>-638417.12</v>
      </c>
      <c r="I140" s="153">
        <f t="shared" si="58"/>
        <v>-710754.14720000001</v>
      </c>
      <c r="J140" s="153">
        <f t="shared" si="58"/>
        <v>-736047.39603199996</v>
      </c>
      <c r="K140" s="42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47"/>
      <c r="C141" s="74"/>
      <c r="D141" s="74"/>
      <c r="E141" s="74"/>
      <c r="F141" s="152"/>
      <c r="G141" s="74"/>
      <c r="H141" s="74"/>
      <c r="I141" s="74"/>
      <c r="J141" s="74"/>
      <c r="K141" s="42"/>
      <c r="M141" s="46"/>
      <c r="N141" s="46"/>
      <c r="O141" s="46"/>
      <c r="P141" s="46"/>
      <c r="Q141" s="46"/>
      <c r="R141" s="46"/>
    </row>
    <row r="142" spans="1:18" hidden="1" x14ac:dyDescent="0.2">
      <c r="A142" s="46"/>
      <c r="B142" s="47" t="s">
        <v>32</v>
      </c>
      <c r="C142" s="47"/>
      <c r="D142" s="47"/>
      <c r="E142" s="72">
        <f t="shared" ref="E142:J142" si="59">+E44-E60</f>
        <v>8016</v>
      </c>
      <c r="F142" s="72">
        <f t="shared" si="59"/>
        <v>325241</v>
      </c>
      <c r="G142" s="72">
        <f t="shared" si="59"/>
        <v>510266</v>
      </c>
      <c r="H142" s="72">
        <f t="shared" si="59"/>
        <v>488787.12</v>
      </c>
      <c r="I142" s="72">
        <f t="shared" si="59"/>
        <v>527443.64720000001</v>
      </c>
      <c r="J142" s="72">
        <f t="shared" si="59"/>
        <v>638912.39603199996</v>
      </c>
      <c r="K142" s="42"/>
      <c r="M142" s="46"/>
      <c r="N142" s="46"/>
      <c r="O142" s="46"/>
      <c r="P142" s="46"/>
      <c r="Q142" s="46"/>
      <c r="R142" s="46"/>
    </row>
    <row r="143" spans="1:18" hidden="1" x14ac:dyDescent="0.2">
      <c r="A143" s="46"/>
      <c r="B143" s="47" t="s">
        <v>33</v>
      </c>
      <c r="C143" s="47"/>
      <c r="D143" s="47"/>
      <c r="E143" s="47">
        <f t="shared" ref="E143:J143" si="60">+E44-E130</f>
        <v>8016</v>
      </c>
      <c r="F143" s="47">
        <f t="shared" si="60"/>
        <v>-185239</v>
      </c>
      <c r="G143" s="47">
        <f t="shared" si="60"/>
        <v>-73966</v>
      </c>
      <c r="H143" s="47">
        <f t="shared" si="60"/>
        <v>-149630</v>
      </c>
      <c r="I143" s="47">
        <f t="shared" si="60"/>
        <v>-183310.5</v>
      </c>
      <c r="J143" s="47">
        <f t="shared" si="60"/>
        <v>-97135</v>
      </c>
      <c r="K143" s="42"/>
      <c r="M143" s="46"/>
      <c r="N143" s="46"/>
      <c r="O143" s="46"/>
      <c r="P143" s="46"/>
      <c r="Q143" s="46"/>
      <c r="R143" s="46"/>
    </row>
    <row r="144" spans="1:18" hidden="1" x14ac:dyDescent="0.2">
      <c r="A144" s="46"/>
      <c r="B144" s="56" t="s">
        <v>34</v>
      </c>
      <c r="C144" s="56"/>
      <c r="D144" s="56"/>
      <c r="E144" s="82">
        <f>+E143-E142</f>
        <v>0</v>
      </c>
      <c r="F144" s="82">
        <f t="shared" ref="F144:J144" si="61">+F143-F142</f>
        <v>-510480</v>
      </c>
      <c r="G144" s="82">
        <f t="shared" si="61"/>
        <v>-584232</v>
      </c>
      <c r="H144" s="82">
        <f t="shared" si="61"/>
        <v>-638417.12</v>
      </c>
      <c r="I144" s="82">
        <f t="shared" si="61"/>
        <v>-710754.14720000001</v>
      </c>
      <c r="J144" s="82">
        <f t="shared" si="61"/>
        <v>-736047.39603199996</v>
      </c>
      <c r="K144" s="42"/>
      <c r="M144" s="46"/>
      <c r="N144" s="46"/>
      <c r="O144" s="46"/>
      <c r="P144" s="46"/>
      <c r="Q144" s="46"/>
      <c r="R144" s="46"/>
    </row>
    <row r="145" spans="1:18" hidden="1" x14ac:dyDescent="0.2">
      <c r="A145" s="46"/>
      <c r="B145" s="67" t="s">
        <v>35</v>
      </c>
      <c r="C145" s="83">
        <f t="shared" ref="C145:J145" si="62">IFERROR(C144/C57,0)</f>
        <v>0</v>
      </c>
      <c r="D145" s="83">
        <f t="shared" si="62"/>
        <v>0</v>
      </c>
      <c r="E145" s="83">
        <f t="shared" si="62"/>
        <v>0</v>
      </c>
      <c r="F145" s="83">
        <f t="shared" si="62"/>
        <v>-2.6754716981132076</v>
      </c>
      <c r="G145" s="83">
        <f t="shared" si="62"/>
        <v>-2.8886911119022192</v>
      </c>
      <c r="H145" s="83">
        <f t="shared" si="62"/>
        <v>-2.9779295809441497</v>
      </c>
      <c r="I145" s="83">
        <f t="shared" si="62"/>
        <v>-3.1276880895403516</v>
      </c>
      <c r="J145" s="83">
        <f t="shared" si="62"/>
        <v>-3.0556524016760633</v>
      </c>
      <c r="K145" s="47"/>
      <c r="L145" s="46"/>
      <c r="M145" s="46"/>
      <c r="N145" s="46"/>
      <c r="O145" s="46"/>
      <c r="P145" s="46"/>
      <c r="Q145" s="46"/>
      <c r="R145" s="46"/>
    </row>
    <row r="146" spans="1:18" hidden="1" x14ac:dyDescent="0.2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6"/>
      <c r="M146" s="46"/>
      <c r="N146" s="46"/>
      <c r="O146" s="46"/>
      <c r="P146" s="46"/>
      <c r="Q146" s="46"/>
      <c r="R146" s="46"/>
    </row>
    <row r="147" spans="1:18" hidden="1" x14ac:dyDescent="0.2">
      <c r="A147" s="46"/>
      <c r="B147" s="47" t="s">
        <v>32</v>
      </c>
      <c r="C147" s="47"/>
      <c r="D147" s="47"/>
      <c r="E147" s="84">
        <f t="shared" ref="E147:J147" si="63">+E142</f>
        <v>8016</v>
      </c>
      <c r="F147" s="72">
        <f t="shared" si="63"/>
        <v>325241</v>
      </c>
      <c r="G147" s="72">
        <f t="shared" si="63"/>
        <v>510266</v>
      </c>
      <c r="H147" s="72">
        <f t="shared" si="63"/>
        <v>488787.12</v>
      </c>
      <c r="I147" s="72">
        <f t="shared" si="63"/>
        <v>527443.64720000001</v>
      </c>
      <c r="J147" s="72">
        <f t="shared" si="63"/>
        <v>638912.39603199996</v>
      </c>
      <c r="K147" s="47"/>
      <c r="L147" s="46"/>
      <c r="M147" s="46"/>
      <c r="N147" s="46"/>
      <c r="O147" s="46"/>
      <c r="P147" s="46"/>
      <c r="Q147" s="46"/>
      <c r="R147" s="46"/>
    </row>
    <row r="148" spans="1:18" hidden="1" x14ac:dyDescent="0.2">
      <c r="A148" s="46"/>
      <c r="B148" s="47" t="s">
        <v>36</v>
      </c>
      <c r="C148" s="47"/>
      <c r="D148" s="47"/>
      <c r="E148" s="85" t="e">
        <f t="shared" ref="E148:J148" si="64">+E44-E130-E134</f>
        <v>#REF!</v>
      </c>
      <c r="F148" s="85" t="e">
        <f t="shared" si="64"/>
        <v>#REF!</v>
      </c>
      <c r="G148" s="85" t="e">
        <f t="shared" si="64"/>
        <v>#REF!</v>
      </c>
      <c r="H148" s="85" t="e">
        <f t="shared" si="64"/>
        <v>#REF!</v>
      </c>
      <c r="I148" s="85" t="e">
        <f t="shared" si="64"/>
        <v>#REF!</v>
      </c>
      <c r="J148" s="85" t="e">
        <f t="shared" si="64"/>
        <v>#REF!</v>
      </c>
      <c r="K148" s="46"/>
      <c r="L148" s="46"/>
      <c r="M148" s="46"/>
      <c r="N148" s="46"/>
      <c r="O148" s="46"/>
      <c r="P148" s="46"/>
      <c r="Q148" s="46"/>
      <c r="R148" s="46"/>
    </row>
    <row r="149" spans="1:18" hidden="1" x14ac:dyDescent="0.2">
      <c r="A149" s="46"/>
      <c r="B149" s="56" t="s">
        <v>34</v>
      </c>
      <c r="C149" s="56"/>
      <c r="D149" s="56"/>
      <c r="E149" s="82" t="e">
        <f>+E148-E147</f>
        <v>#REF!</v>
      </c>
      <c r="F149" s="82" t="e">
        <f t="shared" ref="F149:J149" si="65">+F148-F147</f>
        <v>#REF!</v>
      </c>
      <c r="G149" s="82" t="e">
        <f t="shared" si="65"/>
        <v>#REF!</v>
      </c>
      <c r="H149" s="82" t="e">
        <f t="shared" si="65"/>
        <v>#REF!</v>
      </c>
      <c r="I149" s="82" t="e">
        <f t="shared" si="65"/>
        <v>#REF!</v>
      </c>
      <c r="J149" s="82" t="e">
        <f t="shared" si="65"/>
        <v>#REF!</v>
      </c>
      <c r="K149" s="46"/>
      <c r="L149" s="46"/>
      <c r="M149" s="46"/>
      <c r="N149" s="46"/>
      <c r="O149" s="46"/>
      <c r="P149" s="46"/>
      <c r="Q149" s="46"/>
      <c r="R149" s="46"/>
    </row>
    <row r="150" spans="1:18" hidden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:18" hidden="1" x14ac:dyDescent="0.2">
      <c r="A151" s="46"/>
      <c r="B151" s="145" t="s">
        <v>37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</row>
    <row r="152" spans="1:18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:18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:18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:18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:18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:18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:18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</sheetData>
  <mergeCells count="6">
    <mergeCell ref="E6:J6"/>
    <mergeCell ref="E16:J16"/>
    <mergeCell ref="E15:J15"/>
    <mergeCell ref="E14:J14"/>
    <mergeCell ref="E13:J13"/>
    <mergeCell ref="E12:J12"/>
  </mergeCells>
  <phoneticPr fontId="4" type="noConversion"/>
  <hyperlinks>
    <hyperlink ref="E16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CA205-C9C7-4CE0-9A1F-AC059FB71B09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92</v>
      </c>
      <c r="B1" s="37"/>
      <c r="C1" s="37"/>
      <c r="D1" s="37"/>
      <c r="E1" s="37"/>
      <c r="F1" s="37"/>
      <c r="G1" s="37"/>
    </row>
    <row r="2" spans="1:18" ht="15.75" x14ac:dyDescent="0.25">
      <c r="A2" s="197" t="s">
        <v>93</v>
      </c>
      <c r="B2" s="198"/>
      <c r="C2" s="198"/>
      <c r="D2" s="198"/>
      <c r="E2" s="198"/>
      <c r="F2" s="198"/>
      <c r="G2" s="198"/>
    </row>
    <row r="3" spans="1:18" x14ac:dyDescent="0.2">
      <c r="A3" s="43" t="s">
        <v>2</v>
      </c>
    </row>
    <row r="4" spans="1:18" ht="15" x14ac:dyDescent="0.2">
      <c r="A4" s="44" t="s">
        <v>4</v>
      </c>
      <c r="F4" s="199"/>
    </row>
    <row r="5" spans="1:18" x14ac:dyDescent="0.2">
      <c r="A5" s="45" t="str">
        <f ca="1">CELL("filename")</f>
        <v>https://d.docs.live.net/f3a3aea9cf6e9ea7/Desktop/[BBA 230109-Enrollment-Staffing-Charts.xlsx]Staffing Tables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200" t="s">
        <v>94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200" t="s">
        <v>95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96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201" t="s">
        <v>97</v>
      </c>
      <c r="C11" s="202"/>
      <c r="D11" s="203"/>
      <c r="E11" s="204"/>
      <c r="F11" s="204"/>
      <c r="G11" s="205"/>
      <c r="H11" s="204"/>
      <c r="I11" s="206"/>
      <c r="J11" s="206"/>
      <c r="K11" s="206"/>
      <c r="L11" s="206"/>
      <c r="M11" s="206"/>
      <c r="N11" s="206"/>
      <c r="O11" s="46"/>
      <c r="P11" s="46"/>
      <c r="Q11" s="46"/>
      <c r="R11" s="46"/>
    </row>
    <row r="12" spans="1:18" ht="15" x14ac:dyDescent="0.2">
      <c r="A12" s="47"/>
      <c r="B12" s="207" t="s">
        <v>98</v>
      </c>
      <c r="C12" s="208"/>
      <c r="D12" s="208"/>
      <c r="E12" s="208"/>
      <c r="F12" s="253"/>
      <c r="G12" s="253"/>
      <c r="H12" s="253"/>
      <c r="I12" s="253"/>
      <c r="J12" s="253"/>
      <c r="K12" s="253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7" t="s">
        <v>99</v>
      </c>
      <c r="C13" s="208"/>
      <c r="D13" s="208"/>
      <c r="E13" s="208"/>
      <c r="F13" s="253"/>
      <c r="G13" s="253"/>
      <c r="H13" s="253"/>
      <c r="I13" s="253"/>
      <c r="J13" s="253"/>
      <c r="K13" s="253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52" t="s">
        <v>100</v>
      </c>
      <c r="C14" s="252"/>
      <c r="D14" s="252"/>
      <c r="E14" s="252"/>
      <c r="F14" s="253"/>
      <c r="G14" s="253"/>
      <c r="H14" s="253"/>
      <c r="I14" s="253"/>
      <c r="J14" s="253"/>
      <c r="K14" s="253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52" t="s">
        <v>101</v>
      </c>
      <c r="C15" s="252"/>
      <c r="D15" s="252"/>
      <c r="E15" s="252"/>
      <c r="F15" s="253"/>
      <c r="G15" s="253"/>
      <c r="H15" s="253"/>
      <c r="I15" s="253"/>
      <c r="J15" s="253"/>
      <c r="K15" s="253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7" t="s">
        <v>102</v>
      </c>
      <c r="C16" s="208"/>
      <c r="D16" s="208"/>
      <c r="E16" s="208"/>
      <c r="F16" s="253"/>
      <c r="G16" s="253"/>
      <c r="H16" s="253"/>
      <c r="I16" s="253"/>
      <c r="J16" s="253"/>
      <c r="K16" s="253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7" t="s">
        <v>103</v>
      </c>
      <c r="C17" s="208"/>
      <c r="D17" s="208"/>
      <c r="E17" s="208"/>
      <c r="F17" s="253"/>
      <c r="G17" s="253"/>
      <c r="H17" s="253"/>
      <c r="I17" s="253"/>
      <c r="J17" s="253"/>
      <c r="K17" s="253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7" t="s">
        <v>104</v>
      </c>
      <c r="C18" s="208"/>
      <c r="D18" s="208"/>
      <c r="E18" s="208"/>
      <c r="F18" s="253"/>
      <c r="G18" s="253"/>
      <c r="H18" s="253"/>
      <c r="I18" s="253"/>
      <c r="J18" s="253"/>
      <c r="K18" s="253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52" t="s">
        <v>105</v>
      </c>
      <c r="C19" s="252"/>
      <c r="D19" s="252"/>
      <c r="E19" s="252"/>
      <c r="F19" s="253"/>
      <c r="G19" s="253"/>
      <c r="H19" s="253"/>
      <c r="I19" s="253"/>
      <c r="J19" s="253"/>
      <c r="K19" s="253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52" t="s">
        <v>106</v>
      </c>
      <c r="C20" s="252"/>
      <c r="D20" s="252"/>
      <c r="E20" s="252"/>
      <c r="F20" s="253"/>
      <c r="G20" s="253"/>
      <c r="H20" s="253"/>
      <c r="I20" s="253"/>
      <c r="J20" s="253"/>
      <c r="K20" s="253"/>
      <c r="L20" s="47"/>
      <c r="M20" s="209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10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201" t="s">
        <v>107</v>
      </c>
      <c r="C22" s="202"/>
      <c r="D22" s="203"/>
      <c r="E22" s="204"/>
      <c r="F22" s="204"/>
      <c r="G22" s="205"/>
      <c r="H22" s="204"/>
      <c r="I22" s="206"/>
      <c r="J22" s="206"/>
      <c r="K22" s="206"/>
      <c r="L22" s="206"/>
      <c r="M22" s="206"/>
      <c r="N22" s="206"/>
      <c r="O22" s="46"/>
      <c r="P22" s="46"/>
      <c r="Q22" s="46"/>
      <c r="R22" s="46"/>
    </row>
    <row r="23" spans="1:18" ht="18" x14ac:dyDescent="0.25">
      <c r="A23" s="46"/>
      <c r="B23" s="211" t="s">
        <v>108</v>
      </c>
      <c r="C23" s="212"/>
      <c r="D23" s="199"/>
      <c r="E23" s="213"/>
      <c r="G23" s="214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5"/>
      <c r="C24" s="216"/>
      <c r="D24" s="217">
        <v>1</v>
      </c>
      <c r="E24" s="199" t="s">
        <v>109</v>
      </c>
      <c r="G24" s="214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5"/>
      <c r="C25" s="216"/>
      <c r="D25" s="217">
        <v>2</v>
      </c>
      <c r="E25" s="199" t="s">
        <v>110</v>
      </c>
      <c r="G25" s="214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5"/>
      <c r="C26" s="216"/>
      <c r="D26" s="217">
        <v>3</v>
      </c>
      <c r="E26" s="199" t="s">
        <v>111</v>
      </c>
      <c r="G26" s="214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5"/>
      <c r="C27" s="216"/>
      <c r="D27" s="217">
        <v>4</v>
      </c>
      <c r="E27" s="199" t="s">
        <v>112</v>
      </c>
      <c r="G27" s="214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5"/>
      <c r="C28" s="216"/>
      <c r="D28" s="217">
        <v>5</v>
      </c>
      <c r="E28" s="199" t="s">
        <v>113</v>
      </c>
      <c r="G28" s="214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5"/>
      <c r="C29" s="216"/>
      <c r="D29" s="217">
        <v>6</v>
      </c>
      <c r="E29" s="199" t="s">
        <v>114</v>
      </c>
      <c r="G29" s="214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5" t="s">
        <v>115</v>
      </c>
      <c r="C30" s="216"/>
      <c r="D30" s="217">
        <v>7</v>
      </c>
      <c r="E30" s="199" t="s">
        <v>116</v>
      </c>
      <c r="G30" s="214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5"/>
      <c r="C31" s="216"/>
      <c r="D31" s="217">
        <v>8</v>
      </c>
      <c r="E31" s="199" t="s">
        <v>117</v>
      </c>
      <c r="G31" s="214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5"/>
      <c r="C32" s="216"/>
      <c r="D32" s="217">
        <v>9</v>
      </c>
      <c r="E32" s="199" t="s">
        <v>118</v>
      </c>
      <c r="G32" s="214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5"/>
      <c r="C33" s="216"/>
      <c r="D33" s="217">
        <v>10</v>
      </c>
      <c r="E33" s="199" t="s">
        <v>119</v>
      </c>
      <c r="G33" s="214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5"/>
      <c r="C34" s="216"/>
      <c r="D34" s="217">
        <v>11</v>
      </c>
      <c r="E34" s="199" t="s">
        <v>120</v>
      </c>
      <c r="G34" s="214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5"/>
      <c r="C35" s="216"/>
      <c r="D35" s="217">
        <v>12</v>
      </c>
      <c r="E35" s="199" t="s">
        <v>121</v>
      </c>
      <c r="G35" s="214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5"/>
      <c r="C36" s="216"/>
      <c r="D36" s="217">
        <v>13</v>
      </c>
      <c r="E36" s="199" t="s">
        <v>122</v>
      </c>
      <c r="G36" s="255"/>
      <c r="H36" s="255"/>
      <c r="I36" s="255"/>
      <c r="J36" s="255"/>
      <c r="K36" s="255"/>
      <c r="L36" s="255"/>
      <c r="M36" s="255"/>
      <c r="N36" s="255"/>
      <c r="O36" s="46"/>
      <c r="P36" s="46"/>
      <c r="Q36" s="46"/>
      <c r="R36" s="46"/>
    </row>
    <row r="37" spans="1:18" ht="15" x14ac:dyDescent="0.2">
      <c r="A37" s="46"/>
      <c r="B37" s="212"/>
      <c r="C37" s="212"/>
      <c r="D37" s="46"/>
      <c r="E37" s="46"/>
      <c r="F37" s="214"/>
      <c r="G37" s="214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201" t="s">
        <v>123</v>
      </c>
      <c r="C38" s="205"/>
      <c r="D38" s="205"/>
      <c r="E38" s="204"/>
      <c r="F38" s="206"/>
      <c r="G38" s="206"/>
      <c r="H38" s="206"/>
      <c r="I38" s="204"/>
      <c r="J38" s="204"/>
      <c r="K38" s="204"/>
      <c r="L38" s="206"/>
      <c r="M38" s="206"/>
      <c r="N38" s="206"/>
      <c r="O38" s="46"/>
      <c r="P38" s="46"/>
      <c r="Q38" s="46"/>
      <c r="R38" s="46"/>
    </row>
    <row r="39" spans="1:18" ht="15" x14ac:dyDescent="0.2">
      <c r="A39" s="46"/>
      <c r="B39" s="211" t="s">
        <v>124</v>
      </c>
      <c r="C39" s="212"/>
      <c r="F39" s="214"/>
      <c r="G39" s="214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11" t="s">
        <v>125</v>
      </c>
      <c r="C40" s="212"/>
      <c r="D40" s="218"/>
      <c r="E40" s="199"/>
      <c r="F40" s="214"/>
      <c r="G40" s="214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11" t="s">
        <v>126</v>
      </c>
      <c r="C41" s="212"/>
      <c r="D41" s="218"/>
      <c r="E41" s="199"/>
      <c r="F41" s="214"/>
      <c r="G41" s="214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11"/>
      <c r="C42" s="212"/>
      <c r="D42" s="218"/>
      <c r="E42" s="199"/>
      <c r="F42" s="214"/>
      <c r="G42" s="214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5" t="s">
        <v>115</v>
      </c>
      <c r="C43" s="219" t="str">
        <f>IF(B43="x"," ","nc")</f>
        <v xml:space="preserve"> </v>
      </c>
      <c r="D43" s="217">
        <v>0</v>
      </c>
      <c r="E43" s="199" t="s">
        <v>127</v>
      </c>
      <c r="F43" s="214"/>
      <c r="G43" s="214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5" t="s">
        <v>115</v>
      </c>
      <c r="C44" s="219" t="str">
        <f>IF(B44="x"," ","nc")</f>
        <v xml:space="preserve"> </v>
      </c>
      <c r="D44" s="217">
        <v>1</v>
      </c>
      <c r="E44" s="199" t="s">
        <v>128</v>
      </c>
      <c r="F44" s="214"/>
      <c r="G44" s="214"/>
      <c r="I44" s="220" t="s">
        <v>129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5"/>
      <c r="C45" s="219" t="str">
        <f t="shared" ref="C45:C65" si="0">IF(B45="x"," ","nc")</f>
        <v>nc</v>
      </c>
      <c r="D45" s="217">
        <v>2</v>
      </c>
      <c r="E45" s="199" t="s">
        <v>130</v>
      </c>
      <c r="F45" s="214"/>
      <c r="G45" s="214"/>
      <c r="I45" s="220" t="s">
        <v>131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5"/>
      <c r="C46" s="219" t="str">
        <f t="shared" si="0"/>
        <v>nc</v>
      </c>
      <c r="D46" s="217">
        <v>3</v>
      </c>
      <c r="E46" s="199" t="s">
        <v>132</v>
      </c>
      <c r="F46" s="214"/>
      <c r="G46" s="214"/>
      <c r="I46" s="220" t="s">
        <v>133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5" t="s">
        <v>115</v>
      </c>
      <c r="C47" s="219" t="str">
        <f t="shared" si="0"/>
        <v xml:space="preserve"> </v>
      </c>
      <c r="D47" s="217">
        <v>4</v>
      </c>
      <c r="E47" s="199" t="s">
        <v>134</v>
      </c>
      <c r="F47" s="214"/>
      <c r="G47" s="214"/>
      <c r="I47" s="220" t="s">
        <v>135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5" t="s">
        <v>115</v>
      </c>
      <c r="C48" s="219" t="str">
        <f t="shared" si="0"/>
        <v xml:space="preserve"> </v>
      </c>
      <c r="D48" s="217">
        <v>5</v>
      </c>
      <c r="E48" s="199" t="s">
        <v>136</v>
      </c>
      <c r="F48" s="214"/>
      <c r="G48" s="214"/>
      <c r="I48" s="220" t="s">
        <v>137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5"/>
      <c r="C49" s="219" t="str">
        <f t="shared" si="0"/>
        <v>nc</v>
      </c>
      <c r="D49" s="217">
        <v>6</v>
      </c>
      <c r="E49" s="199" t="s">
        <v>138</v>
      </c>
      <c r="F49" s="214"/>
      <c r="H49" s="214"/>
      <c r="I49" s="220" t="s">
        <v>139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5"/>
      <c r="C50" s="219" t="str">
        <f t="shared" si="0"/>
        <v>nc</v>
      </c>
      <c r="D50" s="217">
        <v>7</v>
      </c>
      <c r="E50" s="199" t="s">
        <v>140</v>
      </c>
      <c r="F50" s="214"/>
      <c r="H50" s="214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5"/>
      <c r="C51" s="219" t="str">
        <f t="shared" si="0"/>
        <v>nc</v>
      </c>
      <c r="D51" s="217">
        <v>8</v>
      </c>
      <c r="E51" s="199" t="s">
        <v>141</v>
      </c>
      <c r="F51" s="214"/>
      <c r="H51" s="214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5"/>
      <c r="C52" s="219" t="str">
        <f t="shared" si="0"/>
        <v>nc</v>
      </c>
      <c r="D52" s="217">
        <v>9</v>
      </c>
      <c r="E52" s="199" t="s">
        <v>142</v>
      </c>
      <c r="F52" s="214"/>
      <c r="H52" s="214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5"/>
      <c r="C53" s="219" t="str">
        <f t="shared" si="0"/>
        <v>nc</v>
      </c>
      <c r="D53" s="217">
        <v>10</v>
      </c>
      <c r="E53" s="199" t="s">
        <v>143</v>
      </c>
      <c r="F53" s="214"/>
      <c r="H53" s="214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5"/>
      <c r="C54" s="219" t="str">
        <f t="shared" si="0"/>
        <v>nc</v>
      </c>
      <c r="D54" s="217">
        <v>11</v>
      </c>
      <c r="E54" s="199" t="s">
        <v>144</v>
      </c>
      <c r="F54" s="214"/>
      <c r="H54" s="214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5"/>
      <c r="C55" s="219" t="str">
        <f t="shared" si="0"/>
        <v>nc</v>
      </c>
      <c r="D55" s="217">
        <v>12</v>
      </c>
      <c r="E55" s="199" t="s">
        <v>145</v>
      </c>
      <c r="F55" s="214"/>
      <c r="H55" s="214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5"/>
      <c r="C56" s="219" t="str">
        <f t="shared" si="0"/>
        <v>nc</v>
      </c>
      <c r="D56" s="217">
        <v>13</v>
      </c>
      <c r="E56" s="199" t="s">
        <v>146</v>
      </c>
      <c r="F56" s="221"/>
      <c r="H56" s="214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5"/>
      <c r="C57" s="219" t="str">
        <f t="shared" si="0"/>
        <v>nc</v>
      </c>
      <c r="D57" s="217">
        <v>14</v>
      </c>
      <c r="E57" s="199" t="s">
        <v>147</v>
      </c>
      <c r="F57" s="214"/>
      <c r="H57" s="214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5"/>
      <c r="C58" s="219" t="str">
        <f t="shared" si="0"/>
        <v>nc</v>
      </c>
      <c r="D58" s="217">
        <v>15</v>
      </c>
      <c r="E58" s="222" t="s">
        <v>148</v>
      </c>
      <c r="F58" s="214"/>
      <c r="H58" s="214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5"/>
      <c r="C59" s="219" t="str">
        <f t="shared" si="0"/>
        <v>nc</v>
      </c>
      <c r="D59" s="217">
        <v>16</v>
      </c>
      <c r="E59" s="199" t="s">
        <v>149</v>
      </c>
      <c r="F59" s="214"/>
      <c r="H59" s="214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5"/>
      <c r="C60" s="219" t="str">
        <f t="shared" si="0"/>
        <v>nc</v>
      </c>
      <c r="D60" s="217">
        <v>17</v>
      </c>
      <c r="E60" s="199" t="s">
        <v>150</v>
      </c>
      <c r="F60" s="214"/>
      <c r="H60" s="214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5"/>
      <c r="C61" s="219" t="str">
        <f t="shared" si="0"/>
        <v>nc</v>
      </c>
      <c r="D61" s="217">
        <v>18</v>
      </c>
      <c r="E61" s="199" t="s">
        <v>151</v>
      </c>
      <c r="F61" s="214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5"/>
      <c r="C62" s="219" t="str">
        <f t="shared" si="0"/>
        <v>nc</v>
      </c>
      <c r="D62" s="217">
        <v>19</v>
      </c>
      <c r="E62" s="199" t="s">
        <v>152</v>
      </c>
      <c r="F62" s="214"/>
      <c r="H62" s="214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5"/>
      <c r="C63" s="219" t="str">
        <f t="shared" si="0"/>
        <v>nc</v>
      </c>
      <c r="D63" s="217">
        <v>20</v>
      </c>
      <c r="E63" s="199" t="s">
        <v>153</v>
      </c>
      <c r="F63" s="214"/>
      <c r="H63" s="214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5"/>
      <c r="C64" s="219" t="str">
        <f t="shared" si="0"/>
        <v>nc</v>
      </c>
      <c r="D64" s="217">
        <v>21</v>
      </c>
      <c r="E64" s="199" t="s">
        <v>154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5"/>
      <c r="C65" s="219" t="str">
        <f t="shared" si="0"/>
        <v>nc</v>
      </c>
      <c r="D65" s="217">
        <v>22</v>
      </c>
      <c r="E65" s="199" t="s">
        <v>155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201" t="s">
        <v>156</v>
      </c>
      <c r="C67" s="205"/>
      <c r="D67" s="205"/>
      <c r="E67" s="204"/>
      <c r="F67" s="206"/>
      <c r="G67" s="206"/>
      <c r="H67" s="206"/>
      <c r="I67" s="204"/>
      <c r="J67" s="204"/>
      <c r="K67" s="204"/>
      <c r="L67" s="206"/>
      <c r="M67" s="206"/>
      <c r="N67" s="206"/>
      <c r="O67" s="46"/>
      <c r="P67" s="46"/>
      <c r="Q67" s="46"/>
      <c r="R67" s="46"/>
    </row>
    <row r="68" spans="1:18" x14ac:dyDescent="0.2">
      <c r="A68" s="4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46"/>
      <c r="P68" s="46"/>
      <c r="Q68" s="46"/>
      <c r="R68" s="46"/>
    </row>
    <row r="69" spans="1:18" x14ac:dyDescent="0.2">
      <c r="A69" s="46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46"/>
      <c r="P69" s="46"/>
      <c r="Q69" s="46"/>
      <c r="R69" s="46"/>
    </row>
    <row r="70" spans="1:18" x14ac:dyDescent="0.2">
      <c r="A70" s="46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46"/>
      <c r="P70" s="46"/>
      <c r="Q70" s="46"/>
      <c r="R70" s="46"/>
    </row>
    <row r="71" spans="1:18" x14ac:dyDescent="0.2">
      <c r="A71" s="46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46"/>
      <c r="P71" s="46"/>
      <c r="Q71" s="46"/>
      <c r="R71" s="46"/>
    </row>
    <row r="72" spans="1:18" x14ac:dyDescent="0.2">
      <c r="A72" s="46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46"/>
      <c r="P72" s="46"/>
      <c r="Q72" s="46"/>
      <c r="R72" s="46"/>
    </row>
    <row r="73" spans="1:18" x14ac:dyDescent="0.2">
      <c r="A73" s="46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46"/>
      <c r="P73" s="46"/>
      <c r="Q73" s="46"/>
      <c r="R73" s="46"/>
    </row>
    <row r="74" spans="1:18" ht="18" x14ac:dyDescent="0.25">
      <c r="A74" s="46"/>
      <c r="B74" s="201" t="s">
        <v>157</v>
      </c>
      <c r="C74" s="205"/>
      <c r="D74" s="205"/>
      <c r="E74" s="204"/>
      <c r="F74" s="206"/>
      <c r="G74" s="206"/>
      <c r="H74" s="206"/>
      <c r="I74" s="204"/>
      <c r="J74" s="204"/>
      <c r="K74" s="204"/>
      <c r="L74" s="206"/>
      <c r="M74" s="206"/>
      <c r="N74" s="206"/>
      <c r="O74" s="46"/>
      <c r="P74" s="46"/>
      <c r="Q74" s="46"/>
      <c r="R74" s="46"/>
    </row>
    <row r="75" spans="1:18" x14ac:dyDescent="0.2">
      <c r="A75" s="46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46"/>
      <c r="P75" s="46"/>
      <c r="Q75" s="46"/>
      <c r="R75" s="46"/>
    </row>
    <row r="76" spans="1:18" x14ac:dyDescent="0.2">
      <c r="A76" s="46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46"/>
      <c r="P76" s="46"/>
      <c r="Q76" s="46"/>
      <c r="R76" s="46"/>
    </row>
    <row r="77" spans="1:18" x14ac:dyDescent="0.2">
      <c r="A77" s="46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46"/>
      <c r="P77" s="46"/>
      <c r="Q77" s="46"/>
      <c r="R77" s="46"/>
    </row>
    <row r="78" spans="1:18" x14ac:dyDescent="0.2">
      <c r="A78" s="46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46"/>
      <c r="P78" s="46"/>
      <c r="Q78" s="46"/>
      <c r="R78" s="46"/>
    </row>
    <row r="79" spans="1:18" x14ac:dyDescent="0.2">
      <c r="A79" s="46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9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92</v>
      </c>
      <c r="B1" s="5"/>
      <c r="C1" s="5"/>
      <c r="D1" s="5"/>
      <c r="E1" s="5"/>
      <c r="F1" s="5"/>
      <c r="G1" s="5"/>
    </row>
    <row r="2" spans="1:18" ht="15.75" x14ac:dyDescent="0.25">
      <c r="A2" s="35" t="s">
        <v>158</v>
      </c>
      <c r="B2" s="36"/>
      <c r="C2" s="36"/>
      <c r="D2" s="36"/>
      <c r="E2" s="36"/>
      <c r="F2" s="36"/>
      <c r="G2" s="36"/>
    </row>
    <row r="3" spans="1:18" x14ac:dyDescent="0.2">
      <c r="A3" s="1" t="s">
        <v>2</v>
      </c>
    </row>
    <row r="4" spans="1:18" ht="15" x14ac:dyDescent="0.2">
      <c r="A4" s="2" t="s">
        <v>4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94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95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96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97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98</v>
      </c>
      <c r="C12" s="18"/>
      <c r="D12" s="18"/>
      <c r="E12" s="18"/>
      <c r="F12" s="263"/>
      <c r="G12" s="263"/>
      <c r="H12" s="263"/>
      <c r="I12" s="263"/>
      <c r="J12" s="263"/>
      <c r="K12" s="26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99</v>
      </c>
      <c r="C13" s="18"/>
      <c r="D13" s="18"/>
      <c r="E13" s="18"/>
      <c r="F13" s="261">
        <v>44153</v>
      </c>
      <c r="G13" s="262"/>
      <c r="H13" s="262"/>
      <c r="I13" s="262"/>
      <c r="J13" s="262"/>
      <c r="K13" s="262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64" t="s">
        <v>100</v>
      </c>
      <c r="C14" s="264"/>
      <c r="D14" s="264"/>
      <c r="E14" s="264"/>
      <c r="F14" s="261"/>
      <c r="G14" s="262"/>
      <c r="H14" s="262"/>
      <c r="I14" s="262"/>
      <c r="J14" s="262"/>
      <c r="K14" s="262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64" t="s">
        <v>101</v>
      </c>
      <c r="C15" s="264"/>
      <c r="D15" s="264"/>
      <c r="E15" s="264"/>
      <c r="F15" s="261"/>
      <c r="G15" s="262"/>
      <c r="H15" s="262"/>
      <c r="I15" s="262"/>
      <c r="J15" s="262"/>
      <c r="K15" s="262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102</v>
      </c>
      <c r="C16" s="18"/>
      <c r="D16" s="18"/>
      <c r="E16" s="18"/>
      <c r="F16" s="263"/>
      <c r="G16" s="263"/>
      <c r="H16" s="263"/>
      <c r="I16" s="263"/>
      <c r="J16" s="263"/>
      <c r="K16" s="26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103</v>
      </c>
      <c r="C17" s="18"/>
      <c r="D17" s="18"/>
      <c r="E17" s="18"/>
      <c r="F17" s="263"/>
      <c r="G17" s="263"/>
      <c r="H17" s="263"/>
      <c r="I17" s="263"/>
      <c r="J17" s="263"/>
      <c r="K17" s="26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104</v>
      </c>
      <c r="C18" s="18"/>
      <c r="D18" s="18"/>
      <c r="E18" s="18"/>
      <c r="F18" s="263"/>
      <c r="G18" s="263"/>
      <c r="H18" s="263"/>
      <c r="I18" s="263"/>
      <c r="J18" s="263"/>
      <c r="K18" s="26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64" t="s">
        <v>105</v>
      </c>
      <c r="C19" s="264"/>
      <c r="D19" s="264"/>
      <c r="E19" s="264"/>
      <c r="F19" s="265"/>
      <c r="G19" s="263"/>
      <c r="H19" s="263"/>
      <c r="I19" s="263"/>
      <c r="J19" s="263"/>
      <c r="K19" s="26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64" t="s">
        <v>106</v>
      </c>
      <c r="C20" s="264"/>
      <c r="D20" s="264"/>
      <c r="E20" s="264"/>
      <c r="F20" s="261"/>
      <c r="G20" s="262"/>
      <c r="H20" s="262"/>
      <c r="I20" s="262"/>
      <c r="J20" s="262"/>
      <c r="K20" s="262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107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108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109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110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111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112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113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114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116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115</v>
      </c>
      <c r="C31" s="29"/>
      <c r="D31" s="30">
        <v>8</v>
      </c>
      <c r="E31" s="8" t="s">
        <v>117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118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119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120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121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122</v>
      </c>
      <c r="G36" s="257"/>
      <c r="H36" s="257"/>
      <c r="I36" s="257"/>
      <c r="J36" s="257"/>
      <c r="K36" s="257"/>
      <c r="L36" s="257"/>
      <c r="M36" s="257"/>
      <c r="N36" s="25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123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124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125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126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115</v>
      </c>
      <c r="C43" s="13" t="str">
        <f>IF(B43="x"," ","nc")</f>
        <v xml:space="preserve"> </v>
      </c>
      <c r="D43" s="30">
        <v>1</v>
      </c>
      <c r="E43" s="8" t="s">
        <v>128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130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132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115</v>
      </c>
      <c r="C46" s="13" t="str">
        <f t="shared" si="0"/>
        <v xml:space="preserve"> </v>
      </c>
      <c r="D46" s="30">
        <v>4</v>
      </c>
      <c r="E46" s="8" t="s">
        <v>134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115</v>
      </c>
      <c r="C47" s="13" t="str">
        <f t="shared" si="0"/>
        <v xml:space="preserve"> </v>
      </c>
      <c r="D47" s="30">
        <v>5</v>
      </c>
      <c r="E47" s="8" t="s">
        <v>136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138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140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141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142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143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144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145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146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147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148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115</v>
      </c>
      <c r="C58" s="13" t="str">
        <f t="shared" si="0"/>
        <v xml:space="preserve"> </v>
      </c>
      <c r="D58" s="30">
        <v>16</v>
      </c>
      <c r="E58" s="8" t="s">
        <v>149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150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151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152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115</v>
      </c>
      <c r="C62" s="13" t="str">
        <f t="shared" si="0"/>
        <v xml:space="preserve"> </v>
      </c>
      <c r="D62" s="30">
        <v>20</v>
      </c>
      <c r="E62" s="8" t="s">
        <v>153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154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155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159</v>
      </c>
      <c r="C65" s="13" t="str">
        <f t="shared" si="0"/>
        <v xml:space="preserve"> </v>
      </c>
      <c r="D65" s="30">
        <v>23</v>
      </c>
      <c r="E65" s="8" t="s">
        <v>160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115</v>
      </c>
      <c r="C66" s="13" t="str">
        <f t="shared" si="0"/>
        <v xml:space="preserve"> </v>
      </c>
      <c r="D66" s="30">
        <v>24</v>
      </c>
      <c r="E66" s="8" t="s">
        <v>161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156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58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4"/>
      <c r="P69" s="4"/>
      <c r="Q69" s="4"/>
      <c r="R69" s="4"/>
    </row>
    <row r="70" spans="1:18" x14ac:dyDescent="0.2">
      <c r="A70" s="4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4"/>
      <c r="P70" s="4"/>
      <c r="Q70" s="4"/>
      <c r="R70" s="4"/>
    </row>
    <row r="71" spans="1:18" x14ac:dyDescent="0.2">
      <c r="A71" s="4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4"/>
      <c r="P71" s="4"/>
      <c r="Q71" s="4"/>
      <c r="R71" s="4"/>
    </row>
    <row r="72" spans="1:18" x14ac:dyDescent="0.2">
      <c r="A72" s="4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4"/>
      <c r="P72" s="4"/>
      <c r="Q72" s="4"/>
      <c r="R72" s="4"/>
    </row>
    <row r="73" spans="1:18" x14ac:dyDescent="0.2">
      <c r="A73" s="4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4"/>
      <c r="P73" s="4"/>
      <c r="Q73" s="4"/>
      <c r="R73" s="4"/>
    </row>
    <row r="74" spans="1:18" x14ac:dyDescent="0.2">
      <c r="A74" s="4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4"/>
      <c r="P74" s="4"/>
      <c r="Q74" s="4"/>
      <c r="R74" s="4"/>
    </row>
    <row r="75" spans="1:18" ht="18" x14ac:dyDescent="0.25">
      <c r="A75" s="4"/>
      <c r="B75" s="21" t="s">
        <v>157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58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4"/>
      <c r="P76" s="4"/>
      <c r="Q76" s="4"/>
      <c r="R76" s="4"/>
    </row>
    <row r="77" spans="1:18" x14ac:dyDescent="0.2">
      <c r="A77" s="4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4"/>
      <c r="P77" s="4"/>
      <c r="Q77" s="4"/>
      <c r="R77" s="4"/>
    </row>
    <row r="78" spans="1:18" x14ac:dyDescent="0.2">
      <c r="A78" s="4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4"/>
      <c r="P78" s="4"/>
      <c r="Q78" s="4"/>
      <c r="R78" s="4"/>
    </row>
    <row r="79" spans="1:18" x14ac:dyDescent="0.2">
      <c r="A79" s="4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4"/>
      <c r="P79" s="4"/>
      <c r="Q79" s="4"/>
      <c r="R79" s="4"/>
    </row>
    <row r="80" spans="1:18" x14ac:dyDescent="0.2">
      <c r="A80" s="4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162</v>
      </c>
      <c r="B1" s="37"/>
      <c r="C1" s="37"/>
      <c r="E1" s="144" t="s">
        <v>163</v>
      </c>
    </row>
    <row r="2" spans="1:15" ht="15.75" x14ac:dyDescent="0.25">
      <c r="A2" s="40" t="str">
        <f>Facilities!A2</f>
        <v>Battle Born Academy</v>
      </c>
      <c r="B2" s="41"/>
      <c r="C2" s="41"/>
    </row>
    <row r="3" spans="1:15" x14ac:dyDescent="0.2">
      <c r="A3" s="43" t="s">
        <v>2</v>
      </c>
    </row>
    <row r="4" spans="1:15" x14ac:dyDescent="0.2">
      <c r="A4" s="44" t="s">
        <v>4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164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165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166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167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168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169</v>
      </c>
    </row>
    <row r="17" spans="1:15" ht="15.75" x14ac:dyDescent="0.2">
      <c r="B17" s="90" t="s">
        <v>170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171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172</v>
      </c>
    </row>
    <row r="19" spans="1:15" ht="13.5" thickBot="1" x14ac:dyDescent="0.25">
      <c r="B19" s="102" t="s">
        <v>167</v>
      </c>
      <c r="C19" s="103" t="s">
        <v>173</v>
      </c>
      <c r="D19" s="104"/>
      <c r="E19" s="104"/>
      <c r="F19" s="104"/>
      <c r="G19" s="104"/>
      <c r="H19" s="104"/>
      <c r="I19" s="105"/>
      <c r="J19" s="106" t="s">
        <v>174</v>
      </c>
      <c r="K19" s="107"/>
      <c r="L19" s="108"/>
      <c r="M19" s="46"/>
      <c r="O19" s="100" t="s">
        <v>175</v>
      </c>
    </row>
    <row r="20" spans="1:15" x14ac:dyDescent="0.2">
      <c r="B20" s="109"/>
      <c r="C20" s="110" t="s">
        <v>176</v>
      </c>
      <c r="D20" s="111" t="s">
        <v>177</v>
      </c>
      <c r="E20" s="111" t="s">
        <v>178</v>
      </c>
      <c r="F20" s="111" t="s">
        <v>179</v>
      </c>
      <c r="G20" s="111" t="s">
        <v>180</v>
      </c>
      <c r="H20" s="111" t="s">
        <v>181</v>
      </c>
      <c r="I20" s="112" t="s">
        <v>182</v>
      </c>
      <c r="J20" s="110" t="s">
        <v>183</v>
      </c>
      <c r="K20" s="111" t="s">
        <v>184</v>
      </c>
      <c r="L20" s="113" t="s">
        <v>185</v>
      </c>
      <c r="M20" s="46"/>
      <c r="O20" s="100" t="s">
        <v>186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187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188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189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190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191</v>
      </c>
    </row>
    <row r="28" spans="1:15" ht="15.75" x14ac:dyDescent="0.2">
      <c r="B28" s="90" t="s">
        <v>192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193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194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195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195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195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195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196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197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383A2-A83C-46E3-B5D4-B20D0F93F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db173ee-3fb8-4f75-bf43-79a22ca96f2e"/>
    <ds:schemaRef ds:uri="9224003f-e6e7-470a-941a-44de56618887"/>
  </ds:schemaRefs>
</ds:datastoreItem>
</file>

<file path=customXml/itemProps4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kathy</cp:lastModifiedBy>
  <cp:revision/>
  <dcterms:created xsi:type="dcterms:W3CDTF">2011-01-17T07:44:01Z</dcterms:created>
  <dcterms:modified xsi:type="dcterms:W3CDTF">2023-02-21T07:34:50Z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MediaServiceImageTags">
    <vt:lpwstr/>
  </property>
</Properties>
</file>