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ounders.local\dfs\Users\rfick\Desktop\FCALV FALL 2022 RFA - Expansion &amp; Enrollment\FCALV RFA Attachments\"/>
    </mc:Choice>
  </mc:AlternateContent>
  <xr:revisionPtr revIDLastSave="0" documentId="8_{08DC2AAC-1B02-4858-8807-EAA925450C55}" xr6:coauthVersionLast="47" xr6:coauthVersionMax="47" xr10:uidLastSave="{00000000-0000-0000-0000-000000000000}"/>
  <bookViews>
    <workbookView xWindow="11685" yWindow="3495" windowWidth="17055" windowHeight="11340" activeTab="1" xr2:uid="{00000000-000D-0000-FFFF-FFFF00000000}"/>
  </bookViews>
  <sheets>
    <sheet name="General" sheetId="4" r:id="rId1"/>
    <sheet name="Facilities" sheetId="2" r:id="rId2"/>
    <sheet name="Sheet1" sheetId="6" r:id="rId3"/>
    <sheet name="RFA Cover &amp; Cklst (2)" sheetId="5" state="hidden" r:id="rId4"/>
    <sheet name="RFA Cover &amp; Cklst" sheetId="1" state="hidden" r:id="rId5"/>
    <sheet name="Profile" sheetId="3" state="hidden" r:id="rId6"/>
  </sheets>
  <definedNames>
    <definedName name="OLE_LINK3" localSheetId="4">'RFA Cover &amp; Cklst'!$M$20</definedName>
    <definedName name="OLE_LINK3" localSheetId="3">'RFA Cover &amp; Cklst (2)'!$M$20</definedName>
    <definedName name="_xlnm.Print_Area" localSheetId="1">Facilities!$A$1:$J$89</definedName>
    <definedName name="_xlnm.Print_Area" localSheetId="0">General!$A$1:$J$63</definedName>
    <definedName name="_xlnm.Print_Area" localSheetId="5">Profile!$A$1:$M$52</definedName>
    <definedName name="_xlnm.Print_Area" localSheetId="4">'RFA Cover &amp; Cklst'!$A$1:$N$81</definedName>
    <definedName name="_xlnm.Print_Area" localSheetId="3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6" l="1"/>
  <c r="C36" i="6"/>
  <c r="C37" i="6"/>
  <c r="C30" i="6"/>
  <c r="C33" i="6" s="1"/>
  <c r="C8" i="6"/>
  <c r="C10" i="6" s="1"/>
  <c r="C28" i="6"/>
  <c r="E35" i="6"/>
  <c r="F35" i="6"/>
  <c r="G35" i="6"/>
  <c r="H35" i="6"/>
  <c r="I35" i="6"/>
  <c r="E37" i="6"/>
  <c r="F37" i="6"/>
  <c r="G37" i="6"/>
  <c r="H37" i="6"/>
  <c r="I37" i="6"/>
  <c r="D37" i="6"/>
  <c r="D35" i="6"/>
  <c r="E28" i="6"/>
  <c r="F28" i="6"/>
  <c r="G28" i="6"/>
  <c r="H28" i="6"/>
  <c r="I28" i="6"/>
  <c r="D28" i="6"/>
  <c r="E8" i="6"/>
  <c r="E10" i="6" s="1"/>
  <c r="F8" i="6"/>
  <c r="F10" i="6" s="1"/>
  <c r="G8" i="6"/>
  <c r="G10" i="6" s="1"/>
  <c r="H8" i="6"/>
  <c r="H10" i="6" s="1"/>
  <c r="H30" i="6" s="1"/>
  <c r="H33" i="6" s="1"/>
  <c r="I8" i="6"/>
  <c r="I10" i="6" s="1"/>
  <c r="D8" i="6"/>
  <c r="D10" i="6" s="1"/>
  <c r="G52" i="2"/>
  <c r="F45" i="2"/>
  <c r="D42" i="2"/>
  <c r="I2" i="6"/>
  <c r="H2" i="6"/>
  <c r="G2" i="6"/>
  <c r="F2" i="6"/>
  <c r="E2" i="6"/>
  <c r="D2" i="6"/>
  <c r="K50" i="4"/>
  <c r="K43" i="4"/>
  <c r="K42" i="4"/>
  <c r="K51" i="4" s="1"/>
  <c r="K52" i="4" s="1"/>
  <c r="K30" i="4"/>
  <c r="K33" i="4" s="1"/>
  <c r="K23" i="4"/>
  <c r="K46" i="4" s="1"/>
  <c r="K17" i="4"/>
  <c r="D80" i="2"/>
  <c r="G62" i="2"/>
  <c r="G83" i="2"/>
  <c r="I36" i="6" l="1"/>
  <c r="H36" i="6"/>
  <c r="G30" i="6"/>
  <c r="G33" i="6" s="1"/>
  <c r="G36" i="6"/>
  <c r="E36" i="6"/>
  <c r="D36" i="6"/>
  <c r="F36" i="6"/>
  <c r="D30" i="6"/>
  <c r="D33" i="6" s="1"/>
  <c r="F30" i="6"/>
  <c r="F33" i="6" s="1"/>
  <c r="I30" i="6"/>
  <c r="I33" i="6" s="1"/>
  <c r="E30" i="6"/>
  <c r="E33" i="6" s="1"/>
  <c r="K31" i="4"/>
  <c r="K24" i="4"/>
  <c r="K47" i="4"/>
  <c r="K60" i="4"/>
  <c r="K55" i="4"/>
  <c r="K54" i="4"/>
  <c r="K59" i="4" s="1"/>
  <c r="K61" i="4" l="1"/>
  <c r="K56" i="4"/>
  <c r="K57" i="4" s="1"/>
  <c r="G43" i="2" l="1"/>
  <c r="G45" i="2" s="1"/>
  <c r="E42" i="2"/>
  <c r="F42" i="2" s="1"/>
  <c r="C28" i="2"/>
  <c r="C29" i="2"/>
  <c r="C84" i="2"/>
  <c r="C86" i="2"/>
  <c r="C52" i="2"/>
  <c r="G42" i="2" l="1"/>
  <c r="H42" i="2" s="1"/>
  <c r="I42" i="2" s="1"/>
  <c r="F46" i="2"/>
  <c r="H43" i="2"/>
  <c r="F60" i="2"/>
  <c r="D18" i="2"/>
  <c r="I43" i="2" l="1"/>
  <c r="H45" i="2"/>
  <c r="G46" i="2"/>
  <c r="H46" i="2"/>
  <c r="J42" i="2"/>
  <c r="I46" i="2"/>
  <c r="J43" i="2" l="1"/>
  <c r="J45" i="2" s="1"/>
  <c r="I45" i="2"/>
  <c r="C57" i="2"/>
  <c r="J46" i="2" l="1"/>
  <c r="D23" i="4"/>
  <c r="C32" i="2" l="1"/>
  <c r="F75" i="2" l="1"/>
  <c r="F52" i="2"/>
  <c r="F53" i="2" s="1"/>
  <c r="J71" i="2"/>
  <c r="I71" i="2"/>
  <c r="H71" i="2"/>
  <c r="G71" i="2"/>
  <c r="F71" i="2"/>
  <c r="F86" i="2"/>
  <c r="E86" i="2"/>
  <c r="D86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K48" i="4" s="1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6" i="2" l="1"/>
  <c r="H86" i="2"/>
  <c r="G12" i="4"/>
  <c r="H12" i="4" s="1"/>
  <c r="I12" i="4" s="1"/>
  <c r="J12" i="4" s="1"/>
  <c r="K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3" i="2"/>
  <c r="D34" i="2" s="1"/>
  <c r="E60" i="2"/>
  <c r="D60" i="2"/>
  <c r="J60" i="2"/>
  <c r="C60" i="2"/>
  <c r="I86" i="2" l="1"/>
  <c r="J86" i="2"/>
  <c r="G60" i="2"/>
  <c r="H60" i="2"/>
  <c r="I60" i="2"/>
  <c r="D33" i="4"/>
  <c r="D31" i="4"/>
  <c r="G50" i="4"/>
  <c r="G52" i="4" s="1"/>
  <c r="C33" i="2" l="1"/>
  <c r="F50" i="4"/>
  <c r="F52" i="4" s="1"/>
  <c r="C34" i="2" l="1"/>
  <c r="C71" i="2"/>
  <c r="H50" i="4"/>
  <c r="H52" i="4" s="1"/>
  <c r="G84" i="2"/>
  <c r="F84" i="2"/>
  <c r="E84" i="2"/>
  <c r="D84" i="2"/>
  <c r="D83" i="2"/>
  <c r="C83" i="2"/>
  <c r="E52" i="2"/>
  <c r="E62" i="2" s="1"/>
  <c r="D52" i="2"/>
  <c r="D62" i="2" s="1"/>
  <c r="C62" i="2"/>
  <c r="E76" i="2"/>
  <c r="E78" i="2" s="1"/>
  <c r="D76" i="2"/>
  <c r="D78" i="2" s="1"/>
  <c r="C76" i="2"/>
  <c r="C78" i="2" s="1"/>
  <c r="F76" i="2"/>
  <c r="F78" i="2" s="1"/>
  <c r="B50" i="2"/>
  <c r="B58" i="2" s="1"/>
  <c r="B117" i="2"/>
  <c r="C75" i="2"/>
  <c r="C77" i="2" s="1"/>
  <c r="J18" i="2"/>
  <c r="I18" i="2"/>
  <c r="H18" i="2"/>
  <c r="G18" i="2"/>
  <c r="F18" i="2"/>
  <c r="E18" i="2"/>
  <c r="C18" i="2"/>
  <c r="B131" i="2"/>
  <c r="B130" i="2"/>
  <c r="D75" i="2" l="1"/>
  <c r="D77" i="2" s="1"/>
  <c r="I50" i="4"/>
  <c r="I52" i="4" s="1"/>
  <c r="G76" i="2"/>
  <c r="G78" i="2" s="1"/>
  <c r="B49" i="2"/>
  <c r="B57" i="2" s="1"/>
  <c r="D71" i="2" l="1"/>
  <c r="E75" i="2"/>
  <c r="E77" i="2" s="1"/>
  <c r="E83" i="2"/>
  <c r="J50" i="4"/>
  <c r="J52" i="4" s="1"/>
  <c r="H76" i="2"/>
  <c r="H78" i="2" s="1"/>
  <c r="H84" i="2"/>
  <c r="C14" i="3"/>
  <c r="E71" i="2" l="1"/>
  <c r="F77" i="2"/>
  <c r="F83" i="2"/>
  <c r="I84" i="2"/>
  <c r="I76" i="2"/>
  <c r="I78" i="2" s="1"/>
  <c r="J84" i="2"/>
  <c r="J76" i="2"/>
  <c r="J78" i="2" s="1"/>
  <c r="F62" i="2" l="1"/>
  <c r="F63" i="2" s="1"/>
  <c r="G75" i="2"/>
  <c r="G77" i="2" s="1"/>
  <c r="H75" i="2" l="1"/>
  <c r="H77" i="2" s="1"/>
  <c r="H83" i="2"/>
  <c r="H52" i="2"/>
  <c r="H62" i="2" s="1"/>
  <c r="G63" i="2"/>
  <c r="G53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7" i="2"/>
  <c r="C137" i="2"/>
  <c r="J122" i="2"/>
  <c r="I122" i="2"/>
  <c r="H122" i="2"/>
  <c r="G122" i="2"/>
  <c r="G123" i="2" s="1"/>
  <c r="F122" i="2"/>
  <c r="E122" i="2"/>
  <c r="E123" i="2" s="1"/>
  <c r="D122" i="2"/>
  <c r="D123" i="2" s="1"/>
  <c r="C122" i="2"/>
  <c r="B121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6" i="2" s="1"/>
  <c r="D13" i="2"/>
  <c r="C13" i="2" s="1"/>
  <c r="H53" i="2" l="1"/>
  <c r="H63" i="2"/>
  <c r="E66" i="2"/>
  <c r="D66" i="2" s="1"/>
  <c r="C66" i="2" s="1"/>
  <c r="G66" i="2"/>
  <c r="H66" i="2" s="1"/>
  <c r="I66" i="2" s="1"/>
  <c r="J66" i="2" s="1"/>
  <c r="J80" i="2"/>
  <c r="I75" i="2"/>
  <c r="I77" i="2" s="1"/>
  <c r="I83" i="2"/>
  <c r="I52" i="2"/>
  <c r="I62" i="2" s="1"/>
  <c r="F74" i="2"/>
  <c r="F56" i="2"/>
  <c r="C131" i="2"/>
  <c r="C132" i="2" s="1"/>
  <c r="C123" i="2"/>
  <c r="E81" i="2"/>
  <c r="E80" i="2"/>
  <c r="I80" i="2"/>
  <c r="I81" i="2"/>
  <c r="F81" i="2"/>
  <c r="F80" i="2"/>
  <c r="J81" i="2"/>
  <c r="G81" i="2"/>
  <c r="G80" i="2"/>
  <c r="H81" i="2"/>
  <c r="H80" i="2"/>
  <c r="H131" i="2"/>
  <c r="H123" i="2"/>
  <c r="I131" i="2"/>
  <c r="I123" i="2"/>
  <c r="D130" i="2"/>
  <c r="F131" i="2"/>
  <c r="F123" i="2"/>
  <c r="J131" i="2"/>
  <c r="J123" i="2"/>
  <c r="H130" i="2"/>
  <c r="G128" i="2"/>
  <c r="G131" i="2"/>
  <c r="E130" i="2"/>
  <c r="D128" i="2"/>
  <c r="D131" i="2"/>
  <c r="D132" i="2" s="1"/>
  <c r="F130" i="2"/>
  <c r="E128" i="2"/>
  <c r="E131" i="2"/>
  <c r="E132" i="2" s="1"/>
  <c r="C130" i="2"/>
  <c r="G130" i="2"/>
  <c r="F126" i="2"/>
  <c r="F127" i="2"/>
  <c r="J126" i="2"/>
  <c r="J127" i="2"/>
  <c r="I127" i="2"/>
  <c r="G126" i="2"/>
  <c r="G127" i="2"/>
  <c r="E127" i="2"/>
  <c r="H127" i="2"/>
  <c r="I128" i="2"/>
  <c r="H128" i="2"/>
  <c r="F128" i="2"/>
  <c r="J128" i="2"/>
  <c r="G13" i="2"/>
  <c r="H13" i="2" s="1"/>
  <c r="I13" i="2" s="1"/>
  <c r="J13" i="2" s="1"/>
  <c r="F41" i="2"/>
  <c r="F48" i="2"/>
  <c r="E48" i="2" s="1"/>
  <c r="D48" i="2" s="1"/>
  <c r="C48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6" i="2"/>
  <c r="E126" i="2"/>
  <c r="I126" i="2"/>
  <c r="I63" i="2" l="1"/>
  <c r="C51" i="3"/>
  <c r="I130" i="2"/>
  <c r="I132" i="2" s="1"/>
  <c r="J75" i="2"/>
  <c r="J77" i="2" s="1"/>
  <c r="J83" i="2"/>
  <c r="J52" i="2"/>
  <c r="I53" i="2"/>
  <c r="G56" i="2"/>
  <c r="H56" i="2" s="1"/>
  <c r="I56" i="2" s="1"/>
  <c r="J56" i="2" s="1"/>
  <c r="E56" i="2"/>
  <c r="D56" i="2" s="1"/>
  <c r="C56" i="2" s="1"/>
  <c r="E74" i="2"/>
  <c r="D74" i="2" s="1"/>
  <c r="C74" i="2" s="1"/>
  <c r="G74" i="2"/>
  <c r="H74" i="2" s="1"/>
  <c r="I74" i="2" s="1"/>
  <c r="J74" i="2" s="1"/>
  <c r="F51" i="3"/>
  <c r="H132" i="2"/>
  <c r="F132" i="2"/>
  <c r="G132" i="2"/>
  <c r="E41" i="2"/>
  <c r="D41" i="2" s="1"/>
  <c r="C41" i="2" s="1"/>
  <c r="G41" i="2"/>
  <c r="H41" i="2" s="1"/>
  <c r="I41" i="2" s="1"/>
  <c r="J41" i="2" s="1"/>
  <c r="G51" i="3"/>
  <c r="E51" i="3"/>
  <c r="H51" i="3"/>
  <c r="G48" i="2"/>
  <c r="H48" i="2" s="1"/>
  <c r="I48" i="2" s="1"/>
  <c r="J48" i="2" s="1"/>
  <c r="D51" i="3"/>
  <c r="J53" i="2" l="1"/>
  <c r="J62" i="2"/>
  <c r="J63" i="2" s="1"/>
  <c r="J130" i="2"/>
  <c r="J132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6" i="2"/>
  <c r="D24" i="2"/>
  <c r="D25" i="2" s="1"/>
  <c r="D126" i="2" l="1"/>
  <c r="D81" i="2"/>
  <c r="C33" i="4"/>
  <c r="C23" i="4"/>
  <c r="C24" i="4" s="1"/>
  <c r="C36" i="2"/>
  <c r="C24" i="2"/>
  <c r="C25" i="2" s="1"/>
  <c r="C46" i="4" l="1"/>
  <c r="C126" i="2"/>
  <c r="C80" i="2"/>
  <c r="C81" i="2"/>
  <c r="F33" i="2" l="1"/>
  <c r="F36" i="2" s="1"/>
  <c r="H33" i="2"/>
  <c r="H34" i="2" s="1"/>
  <c r="G33" i="2"/>
  <c r="G36" i="2" s="1"/>
  <c r="J33" i="2"/>
  <c r="J34" i="2" s="1"/>
  <c r="I33" i="2"/>
  <c r="I36" i="2" s="1"/>
  <c r="J30" i="4"/>
  <c r="I30" i="4"/>
  <c r="H30" i="4"/>
  <c r="H33" i="4" s="1"/>
  <c r="F30" i="4"/>
  <c r="G30" i="4"/>
  <c r="G34" i="2" l="1"/>
  <c r="I34" i="2"/>
  <c r="F34" i="2"/>
  <c r="H54" i="4"/>
  <c r="H59" i="4" s="1"/>
  <c r="H55" i="4"/>
  <c r="H60" i="4"/>
  <c r="F33" i="4"/>
  <c r="F31" i="4"/>
  <c r="J33" i="4"/>
  <c r="J31" i="4"/>
  <c r="F140" i="2"/>
  <c r="F134" i="2"/>
  <c r="F139" i="2" s="1"/>
  <c r="F135" i="2"/>
  <c r="F37" i="2"/>
  <c r="G37" i="2" s="1"/>
  <c r="G140" i="2"/>
  <c r="G134" i="2"/>
  <c r="G139" i="2" s="1"/>
  <c r="G135" i="2"/>
  <c r="I134" i="2"/>
  <c r="I139" i="2" s="1"/>
  <c r="I135" i="2"/>
  <c r="I140" i="2"/>
  <c r="G31" i="4"/>
  <c r="G33" i="4"/>
  <c r="I33" i="4"/>
  <c r="I31" i="4"/>
  <c r="H36" i="2"/>
  <c r="J36" i="2"/>
  <c r="H31" i="4"/>
  <c r="H56" i="4" l="1"/>
  <c r="H57" i="4" s="1"/>
  <c r="H61" i="4"/>
  <c r="I136" i="2"/>
  <c r="I137" i="2" s="1"/>
  <c r="G60" i="4"/>
  <c r="G55" i="4"/>
  <c r="G54" i="4"/>
  <c r="G59" i="4" s="1"/>
  <c r="H140" i="2"/>
  <c r="H135" i="2"/>
  <c r="H37" i="2"/>
  <c r="I37" i="2" s="1"/>
  <c r="H134" i="2"/>
  <c r="H139" i="2" s="1"/>
  <c r="G141" i="2"/>
  <c r="F141" i="2"/>
  <c r="F55" i="4"/>
  <c r="F34" i="4"/>
  <c r="G34" i="4" s="1"/>
  <c r="H34" i="4" s="1"/>
  <c r="I34" i="4" s="1"/>
  <c r="J34" i="4" s="1"/>
  <c r="K34" i="4" s="1"/>
  <c r="F60" i="4"/>
  <c r="F54" i="4"/>
  <c r="F59" i="4" s="1"/>
  <c r="G136" i="2"/>
  <c r="G137" i="2" s="1"/>
  <c r="J135" i="2"/>
  <c r="J37" i="2"/>
  <c r="J140" i="2"/>
  <c r="J134" i="2"/>
  <c r="J139" i="2" s="1"/>
  <c r="I54" i="4"/>
  <c r="I59" i="4" s="1"/>
  <c r="I60" i="4"/>
  <c r="I55" i="4"/>
  <c r="I141" i="2"/>
  <c r="F136" i="2"/>
  <c r="F137" i="2" s="1"/>
  <c r="J54" i="4"/>
  <c r="J59" i="4" s="1"/>
  <c r="J55" i="4"/>
  <c r="J60" i="4"/>
  <c r="J141" i="2" l="1"/>
  <c r="G56" i="4"/>
  <c r="G57" i="4" s="1"/>
  <c r="G61" i="4"/>
  <c r="I56" i="4"/>
  <c r="I57" i="4" s="1"/>
  <c r="I61" i="4"/>
  <c r="F61" i="4"/>
  <c r="H141" i="2"/>
  <c r="J56" i="4"/>
  <c r="J57" i="4" s="1"/>
  <c r="J136" i="2"/>
  <c r="J137" i="2" s="1"/>
  <c r="F56" i="4"/>
  <c r="F57" i="4" s="1"/>
  <c r="J61" i="4"/>
  <c r="H136" i="2"/>
  <c r="H137" i="2" s="1"/>
  <c r="E33" i="2"/>
  <c r="E36" i="2" s="1"/>
  <c r="E30" i="4"/>
  <c r="E34" i="2" l="1"/>
  <c r="E33" i="4"/>
  <c r="E31" i="4"/>
  <c r="E140" i="2"/>
  <c r="E134" i="2"/>
  <c r="E139" i="2" s="1"/>
  <c r="E135" i="2"/>
  <c r="E141" i="2" l="1"/>
  <c r="E136" i="2"/>
  <c r="E137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<sst xmlns="http://schemas.openxmlformats.org/spreadsheetml/2006/main" count="336" uniqueCount="207">
  <si>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</si>
  <si>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</si>
  <si>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</si>
  <si>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</si>
  <si>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</si>
  <si>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</si>
  <si>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</si>
  <si>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</si>
  <si>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</si>
  <si>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</si>
  <si>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</si>
  <si>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</si>
  <si>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</si>
  <si>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</si>
  <si>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</si>
  <si>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</si>
  <si>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</si>
  <si>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</si>
  <si>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</si>
  <si>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</si>
  <si>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</si>
  <si>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</si>
  <si>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</si>
  <si>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</si>
  <si>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</si>
  <si>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</si>
  <si>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</si>
  <si>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</si>
  <si>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</si>
  <si>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</si>
  <si>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</si>
  <si>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</si>
  <si>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</si>
  <si>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</si>
  <si>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</si>
  <si>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</si>
  <si>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</si>
  <si>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</si>
  <si>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</si>
  <si>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</si>
  <si>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</si>
  <si>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</si>
  <si>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</si>
  <si>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</si>
  <si>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</si>
  <si>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</si>
  <si>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</si>
  <si>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</si>
  <si>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</si>
  <si>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</si>
  <si>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</si>
  <si>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</si>
  <si>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</si>
  <si>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</si>
  <si>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</si>
  <si>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</si>
  <si>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</si>
  <si>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</si>
  <si>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</si>
  <si>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</si>
  <si>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</si>
  <si>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</si>
  <si>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</si>
  <si>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</si>
  <si>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</si>
  <si>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</si>
  <si>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</si>
  <si>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</si>
  <si>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</si>
  <si>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</si>
  <si>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</si>
  <si>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</si>
  <si>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</si>
  <si>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</si>
  <si>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</si>
  <si>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</si>
  <si>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</si>
  <si>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</si>
  <si>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</si>
  <si>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</si>
  <si>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</si>
  <si>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</si>
  <si>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</si>
  <si>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</si>
  <si>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</si>
  <si>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</si>
  <si>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</si>
  <si>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</si>
  <si>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</si>
  <si>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</si>
  <si>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</si>
  <si>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</si>
  <si>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</si>
  <si>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</si>
  <si>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</si>
  <si>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</si>
  <si>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</si>
  <si>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</si>
  <si>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</si>
  <si>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</si>
  <si>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</si>
  <si>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</si>
  <si>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</si>
  <si>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</si>
  <si>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</si>
  <si>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</si>
  <si>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</si>
  <si>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</si>
  <si>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</si>
  <si>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</si>
  <si>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</si>
  <si>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</si>
  <si>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</si>
  <si>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</si>
  <si>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</si>
  <si>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</si>
  <si>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</si>
  <si>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</si>
  <si>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</si>
  <si>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</si>
  <si>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</si>
  <si>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</si>
  <si>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</si>
  <si>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</si>
  <si>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</si>
  <si>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</si>
  <si>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</si>
  <si>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</si>
  <si>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</si>
  <si>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</si>
  <si>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</si>
  <si>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</si>
  <si>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</si>
  <si>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</si>
  <si>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</si>
  <si>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</si>
  <si>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</si>
  <si>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</si>
  <si>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</si>
  <si>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</si>
  <si>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</si>
  <si>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</si>
  <si>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</si>
  <si>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</si>
  <si>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</si>
  <si>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</si>
  <si>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</si>
  <si>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</si>
  <si>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</si>
  <si>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</si>
  <si>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</si>
  <si>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</si>
  <si>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</si>
  <si>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</si>
  <si>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</si>
  <si>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</si>
  <si>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</si>
  <si>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</si>
  <si>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</si>
  <si>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</si>
  <si>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</si>
  <si>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</si>
  <si>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</si>
  <si>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</si>
  <si>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</si>
  <si>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</si>
  <si>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</si>
  <si>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</si>
  <si>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</si>
  <si>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</si>
  <si>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</si>
  <si>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</si>
  <si>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</si>
  <si>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</si>
  <si>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</si>
  <si>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</si>
  <si>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</si>
  <si>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</si>
  <si>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</si>
  <si>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</si>
  <si>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</si>
  <si>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</si>
  <si>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</si>
  <si>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</si>
  <si>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</si>
  <si>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</si>
  <si>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</si>
  <si>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</si>
  <si>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State Revenues</t>
  </si>
  <si>
    <t>Federal Revenue</t>
  </si>
  <si>
    <t>Local Revenue</t>
  </si>
  <si>
    <t>Local revenue less Transfers in from other funds</t>
  </si>
  <si>
    <t>Facility Purchased Services</t>
  </si>
  <si>
    <t>Facility Supplies</t>
  </si>
  <si>
    <t>Facility Purchased Services (NEW)</t>
  </si>
  <si>
    <t>Facility Supplies (NEW)</t>
  </si>
  <si>
    <t>Current facility BOND</t>
  </si>
  <si>
    <t>INSTRUCTION</t>
  </si>
  <si>
    <t>PAYROLL</t>
  </si>
  <si>
    <t>TOTAL</t>
  </si>
  <si>
    <t>LESS SUPPORT</t>
  </si>
  <si>
    <t>Formula changed to show increase to facility</t>
  </si>
  <si>
    <t>Formula needs to be changed to show increase in cost</t>
  </si>
  <si>
    <t>PURCHASED &amp; SUPPLIES</t>
  </si>
  <si>
    <t>4300-4700</t>
  </si>
  <si>
    <t>DEPRECIATION</t>
  </si>
  <si>
    <t>Founders Classical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</si>
</sst>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  <numFmt numFmtId="180" formatCode="_(* #,##0_);_(* \(#,##0\);_(* &quot;-&quot;??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12" fillId="0" borderId="2" xfId="0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 applyBorder="1"/>
    <xf numFmtId="164" fontId="17" fillId="3" borderId="0" xfId="1" applyNumberFormat="1" applyFont="1" applyFill="1" applyBorder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6" fillId="0" borderId="0" xfId="1" applyNumberFormat="1" applyFill="1"/>
    <xf numFmtId="164" fontId="25" fillId="0" borderId="0" xfId="1" quotePrefix="1" applyNumberFormat="1" applyFont="1" applyFill="1" applyBorder="1" applyAlignment="1">
      <alignment horizontal="left" indent="1"/>
    </xf>
    <xf numFmtId="164" fontId="17" fillId="3" borderId="0" xfId="1" quotePrefix="1" applyNumberFormat="1" applyFont="1" applyFill="1" applyBorder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4" fontId="12" fillId="0" borderId="0" xfId="1" applyNumberFormat="1" applyFont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Fill="1" applyBorder="1"/>
    <xf numFmtId="164" fontId="17" fillId="3" borderId="6" xfId="1" applyNumberFormat="1" applyFont="1" applyFill="1" applyBorder="1"/>
    <xf numFmtId="167" fontId="12" fillId="0" borderId="0" xfId="1" applyNumberFormat="1" applyFont="1" applyBorder="1"/>
    <xf numFmtId="168" fontId="12" fillId="0" borderId="0" xfId="1" applyNumberFormat="1" applyFont="1" applyBorder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Fill="1" applyBorder="1"/>
    <xf numFmtId="167" fontId="12" fillId="0" borderId="0" xfId="1" applyNumberFormat="1" applyFont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171" fontId="29" fillId="3" borderId="0" xfId="3" applyNumberFormat="1" applyFont="1" applyFill="1" applyBorder="1" applyAlignment="1">
      <alignment horizontal="left" vertical="center"/>
    </xf>
    <xf numFmtId="0" fontId="6" fillId="0" borderId="0" xfId="1" applyFont="1" applyFill="1"/>
    <xf numFmtId="164" fontId="6" fillId="0" borderId="0" xfId="1" applyNumberFormat="1" applyFont="1" applyFill="1"/>
    <xf numFmtId="0" fontId="30" fillId="0" borderId="0" xfId="3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Fill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left" vertical="center"/>
    </xf>
    <xf numFmtId="0" fontId="32" fillId="0" borderId="20" xfId="3" applyFont="1" applyFill="1" applyBorder="1" applyAlignment="1">
      <alignment vertical="center"/>
    </xf>
    <xf numFmtId="0" fontId="32" fillId="0" borderId="21" xfId="3" applyFont="1" applyFill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Fill="1" applyBorder="1" applyAlignment="1">
      <alignment horizontal="center" vertical="center" wrapText="1"/>
    </xf>
    <xf numFmtId="0" fontId="32" fillId="0" borderId="15" xfId="3" applyFont="1" applyFill="1" applyBorder="1" applyAlignment="1">
      <alignment horizontal="center" vertical="center" wrapText="1"/>
    </xf>
    <xf numFmtId="0" fontId="32" fillId="0" borderId="16" xfId="3" applyFont="1" applyFill="1" applyBorder="1" applyAlignment="1">
      <alignment horizontal="center" vertical="center" wrapText="1"/>
    </xf>
    <xf numFmtId="0" fontId="32" fillId="0" borderId="17" xfId="3" applyFont="1" applyFill="1" applyBorder="1" applyAlignment="1">
      <alignment horizontal="center" vertical="center" wrapText="1"/>
    </xf>
    <xf numFmtId="0" fontId="35" fillId="0" borderId="17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Fill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Fill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Fill="1" applyBorder="1" applyAlignment="1">
      <alignment horizontal="center" vertical="center"/>
    </xf>
    <xf numFmtId="0" fontId="32" fillId="0" borderId="31" xfId="3" applyFont="1" applyFill="1" applyBorder="1" applyAlignment="1">
      <alignment horizontal="center" vertical="center" wrapText="1"/>
    </xf>
    <xf numFmtId="164" fontId="12" fillId="0" borderId="0" xfId="1" quotePrefix="1" applyNumberFormat="1" applyFont="1" applyBorder="1"/>
    <xf numFmtId="164" fontId="12" fillId="0" borderId="32" xfId="1" quotePrefix="1" applyNumberFormat="1" applyFont="1" applyBorder="1"/>
    <xf numFmtId="0" fontId="32" fillId="0" borderId="33" xfId="3" applyFont="1" applyFill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Fill="1" applyBorder="1" applyAlignment="1">
      <alignment horizontal="center" vertical="center" wrapText="1"/>
    </xf>
    <xf numFmtId="174" fontId="38" fillId="0" borderId="1" xfId="3" applyNumberFormat="1" applyFont="1" applyFill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Fill="1" applyBorder="1"/>
    <xf numFmtId="0" fontId="12" fillId="0" borderId="36" xfId="1" applyFont="1" applyFill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Fill="1" applyBorder="1" applyAlignment="1">
      <alignment horizontal="center" vertical="center" wrapText="1"/>
    </xf>
    <xf numFmtId="168" fontId="12" fillId="0" borderId="0" xfId="1" quotePrefix="1" applyNumberFormat="1" applyFont="1" applyBorder="1"/>
    <xf numFmtId="168" fontId="12" fillId="0" borderId="0" xfId="1" applyNumberFormat="1" applyFont="1"/>
    <xf numFmtId="164" fontId="17" fillId="3" borderId="0" xfId="0" applyNumberFormat="1" applyFont="1" applyFill="1" applyBorder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Fill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4" fontId="23" fillId="0" borderId="0" xfId="1" applyNumberFormat="1" applyFont="1" applyBorder="1"/>
    <xf numFmtId="168" fontId="23" fillId="0" borderId="0" xfId="1" applyNumberFormat="1" applyFont="1" applyBorder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 applyBorder="1"/>
    <xf numFmtId="167" fontId="23" fillId="0" borderId="0" xfId="1" applyNumberFormat="1" applyFont="1" applyBorder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 applyBorder="1"/>
    <xf numFmtId="164" fontId="31" fillId="0" borderId="0" xfId="1" applyNumberFormat="1" applyFont="1"/>
    <xf numFmtId="164" fontId="43" fillId="0" borderId="6" xfId="1" applyNumberFormat="1" applyFont="1" applyFill="1" applyBorder="1"/>
    <xf numFmtId="164" fontId="43" fillId="0" borderId="2" xfId="1" applyNumberFormat="1" applyFont="1" applyFill="1" applyBorder="1"/>
    <xf numFmtId="164" fontId="43" fillId="0" borderId="3" xfId="1" applyNumberFormat="1" applyFont="1" applyFill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 applyFill="1" applyBorder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Fill="1" applyBorder="1" applyAlignment="1">
      <alignment horizontal="left" indent="1"/>
    </xf>
    <xf numFmtId="167" fontId="25" fillId="0" borderId="6" xfId="1" applyNumberFormat="1" applyFont="1" applyFill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 applyBorder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12" fillId="0" borderId="0" xfId="1" applyNumberFormat="1" applyFont="1" applyFill="1"/>
    <xf numFmtId="179" fontId="12" fillId="0" borderId="0" xfId="1" applyNumberFormat="1" applyFont="1" applyBorder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167" fontId="25" fillId="0" borderId="0" xfId="1" applyNumberFormat="1" applyFon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164" fontId="17" fillId="3" borderId="39" xfId="5" applyNumberFormat="1" applyFont="1" applyFill="1" applyBorder="1"/>
    <xf numFmtId="180" fontId="44" fillId="3" borderId="38" xfId="5" applyNumberFormat="1" applyFont="1" applyFill="1" applyBorder="1"/>
    <xf numFmtId="43" fontId="0" fillId="0" borderId="0" xfId="5" applyFont="1"/>
    <xf numFmtId="43" fontId="0" fillId="0" borderId="0" xfId="0" applyNumberFormat="1"/>
    <xf numFmtId="0" fontId="0" fillId="0" borderId="0" xfId="0" applyFill="1"/>
    <xf numFmtId="43" fontId="0" fillId="0" borderId="0" xfId="5" applyFont="1" applyFill="1"/>
    <xf numFmtId="0" fontId="0" fillId="0" borderId="10" xfId="0" applyFill="1" applyBorder="1"/>
    <xf numFmtId="43" fontId="0" fillId="0" borderId="10" xfId="5" applyFont="1" applyFill="1" applyBorder="1"/>
    <xf numFmtId="0" fontId="0" fillId="0" borderId="10" xfId="0" applyBorder="1"/>
    <xf numFmtId="43" fontId="0" fillId="0" borderId="10" xfId="0" applyNumberFormat="1" applyBorder="1"/>
    <xf numFmtId="0" fontId="0" fillId="9" borderId="0" xfId="0" applyFill="1"/>
    <xf numFmtId="43" fontId="0" fillId="9" borderId="0" xfId="5" applyFont="1" applyFill="1"/>
    <xf numFmtId="0" fontId="0" fillId="10" borderId="0" xfId="0" applyFill="1"/>
    <xf numFmtId="43" fontId="0" fillId="10" borderId="0" xfId="5" applyFont="1" applyFill="1"/>
    <xf numFmtId="0" fontId="0" fillId="11" borderId="0" xfId="0" applyFill="1"/>
    <xf numFmtId="43" fontId="0" fillId="11" borderId="0" xfId="0" applyNumberFormat="1" applyFill="1"/>
    <xf numFmtId="43" fontId="0" fillId="11" borderId="0" xfId="5" applyFont="1" applyFill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Alignment="1" applyProtection="1">
      <protection locked="0"/>
    </xf>
    <xf numFmtId="164" fontId="17" fillId="3" borderId="5" xfId="1" applyNumberFormat="1" applyFont="1" applyFill="1" applyBorder="1" applyAlignment="1" applyProtection="1">
      <protection locked="0"/>
    </xf>
    <xf numFmtId="164" fontId="17" fillId="3" borderId="4" xfId="1" applyNumberFormat="1" applyFont="1" applyFill="1" applyBorder="1" applyAlignment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Alignment="1" applyProtection="1">
      <protection locked="0"/>
    </xf>
    <xf numFmtId="164" fontId="17" fillId="3" borderId="4" xfId="0" quotePrefix="1" applyNumberFormat="1" applyFont="1" applyFill="1" applyBorder="1" applyAlignment="1" applyProtection="1">
      <protection locked="0"/>
    </xf>
    <xf numFmtId="164" fontId="17" fillId="3" borderId="4" xfId="0" applyNumberFormat="1" applyFont="1" applyFill="1" applyBorder="1" applyAlignment="1" applyProtection="1">
      <protection locked="0"/>
    </xf>
    <xf numFmtId="164" fontId="17" fillId="3" borderId="2" xfId="0" applyNumberFormat="1" applyFont="1" applyFill="1" applyBorder="1" applyAlignment="1" applyProtection="1"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70"/>
  <sheetViews>
    <sheetView showGridLines="0" zoomScale="140" zoomScaleNormal="14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G16" sqref="G16"/>
    </sheetView>
  </sheetViews>
  <sheetFormatPr defaultColWidth="9.140625" defaultRowHeight="12.75" x14ac:dyDescent="0.2"/>
  <cols>
    <col min="1" max="1" width="1.85546875" style="39" customWidth="1"/>
    <col min="2" max="2" width="23.7109375" style="39" customWidth="1"/>
    <col min="3" max="4" width="12.85546875" style="39" hidden="1" customWidth="1"/>
    <col min="5" max="11" width="12.85546875" style="39" customWidth="1"/>
    <col min="12" max="12" width="2.42578125" style="39" customWidth="1"/>
    <col min="13" max="13" width="11.28515625" style="39" bestFit="1" customWidth="1"/>
    <col min="14" max="16" width="9.140625" style="39"/>
    <col min="17" max="20" width="9.5703125" style="39" customWidth="1"/>
    <col min="21" max="16384" width="9.140625" style="39"/>
  </cols>
  <sheetData>
    <row r="1" spans="1:19" ht="15.75" x14ac:dyDescent="0.25">
      <c r="A1" s="230" t="s">
        <v>183</v>
      </c>
      <c r="B1" s="231"/>
      <c r="C1" s="231"/>
      <c r="D1" s="231"/>
      <c r="F1" s="40"/>
      <c r="G1" s="40"/>
      <c r="H1" s="40"/>
      <c r="I1" s="40"/>
      <c r="J1" s="40"/>
      <c r="K1" s="40"/>
    </row>
    <row r="2" spans="1:19" ht="15.75" x14ac:dyDescent="0.25">
      <c r="A2" s="165" t="s">
        <v>206</v>
      </c>
      <c r="B2" s="166"/>
      <c r="C2" s="166"/>
      <c r="D2" s="166"/>
      <c r="F2" s="43" t="s">
        <v>0</v>
      </c>
      <c r="G2" s="43"/>
      <c r="H2" s="43"/>
    </row>
    <row r="3" spans="1:19" x14ac:dyDescent="0.2">
      <c r="A3" s="44" t="s">
        <v>1</v>
      </c>
      <c r="I3" s="234" t="s">
        <v>2</v>
      </c>
      <c r="J3" s="233"/>
      <c r="K3" s="233"/>
    </row>
    <row r="4" spans="1:19" x14ac:dyDescent="0.2">
      <c r="A4" s="45" t="s">
        <v>3</v>
      </c>
      <c r="I4" s="247" t="s">
        <v>178</v>
      </c>
    </row>
    <row r="5" spans="1:19" x14ac:dyDescent="0.2">
      <c r="A5" s="45"/>
      <c r="I5" s="247"/>
    </row>
    <row r="6" spans="1:19" x14ac:dyDescent="0.2">
      <c r="A6" s="45"/>
      <c r="B6" s="227" t="s">
        <v>179</v>
      </c>
      <c r="I6" s="247"/>
    </row>
    <row r="7" spans="1:19" x14ac:dyDescent="0.2">
      <c r="A7" s="45"/>
      <c r="B7" s="227" t="s">
        <v>181</v>
      </c>
      <c r="I7" s="247"/>
    </row>
    <row r="8" spans="1:19" x14ac:dyDescent="0.2">
      <c r="A8" s="45"/>
      <c r="B8" s="227" t="s">
        <v>182</v>
      </c>
      <c r="I8" s="247"/>
    </row>
    <row r="9" spans="1:19" x14ac:dyDescent="0.2">
      <c r="A9" s="45"/>
      <c r="I9" s="247"/>
    </row>
    <row r="10" spans="1:19" ht="15.75" x14ac:dyDescent="0.25">
      <c r="A10" s="46"/>
      <c r="C10" s="186"/>
      <c r="D10" s="186"/>
      <c r="E10" s="187" t="s">
        <v>4</v>
      </c>
      <c r="F10" s="188" t="s">
        <v>5</v>
      </c>
      <c r="G10" s="189"/>
      <c r="H10" s="189"/>
      <c r="I10" s="189"/>
      <c r="J10" s="189"/>
      <c r="K10" s="189"/>
      <c r="M10" s="248" t="s">
        <v>180</v>
      </c>
      <c r="N10" s="213"/>
      <c r="O10" s="213"/>
      <c r="P10" s="213"/>
      <c r="Q10" s="213"/>
      <c r="R10" s="213"/>
      <c r="S10" s="213"/>
    </row>
    <row r="11" spans="1:19" x14ac:dyDescent="0.2">
      <c r="A11" s="47"/>
      <c r="B11" s="48"/>
      <c r="C11" s="48"/>
      <c r="D11" s="48"/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>
        <v>6</v>
      </c>
      <c r="L11" s="49"/>
      <c r="M11" s="268"/>
      <c r="N11" s="268"/>
      <c r="O11" s="268"/>
      <c r="P11" s="268"/>
      <c r="Q11" s="268"/>
      <c r="R11" s="268"/>
      <c r="S11" s="268"/>
    </row>
    <row r="12" spans="1:19" x14ac:dyDescent="0.2">
      <c r="A12" s="47"/>
      <c r="B12" s="50"/>
      <c r="C12" s="51">
        <f>+D12-1</f>
        <v>2020</v>
      </c>
      <c r="D12" s="51">
        <f>+E12-1</f>
        <v>2021</v>
      </c>
      <c r="E12" s="52">
        <v>2022</v>
      </c>
      <c r="F12" s="232">
        <f t="shared" ref="F12:K12" si="0">1+E12</f>
        <v>2023</v>
      </c>
      <c r="G12" s="232">
        <f t="shared" si="0"/>
        <v>2024</v>
      </c>
      <c r="H12" s="232">
        <f t="shared" si="0"/>
        <v>2025</v>
      </c>
      <c r="I12" s="232">
        <f t="shared" si="0"/>
        <v>2026</v>
      </c>
      <c r="J12" s="232">
        <f t="shared" si="0"/>
        <v>2027</v>
      </c>
      <c r="K12" s="232">
        <f t="shared" si="0"/>
        <v>2028</v>
      </c>
      <c r="L12" s="43"/>
      <c r="M12" s="268"/>
      <c r="N12" s="268"/>
      <c r="O12" s="268"/>
      <c r="P12" s="268"/>
      <c r="Q12" s="268"/>
      <c r="R12" s="268"/>
      <c r="S12" s="268"/>
    </row>
    <row r="13" spans="1:19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3"/>
      <c r="M13" s="268"/>
      <c r="N13" s="268"/>
      <c r="O13" s="268"/>
      <c r="P13" s="268"/>
      <c r="Q13" s="268"/>
      <c r="R13" s="268"/>
      <c r="S13" s="268"/>
    </row>
    <row r="14" spans="1:19" x14ac:dyDescent="0.2">
      <c r="A14" s="47"/>
      <c r="B14" s="184" t="s">
        <v>6</v>
      </c>
      <c r="C14" s="51"/>
      <c r="D14" s="51"/>
      <c r="E14" s="51"/>
      <c r="F14" s="51"/>
      <c r="G14" s="51"/>
      <c r="H14" s="51"/>
      <c r="I14" s="51"/>
      <c r="J14" s="51"/>
      <c r="K14" s="51"/>
      <c r="L14" s="43"/>
      <c r="M14" s="268"/>
      <c r="N14" s="268"/>
      <c r="O14" s="268"/>
      <c r="P14" s="268"/>
      <c r="Q14" s="268"/>
      <c r="R14" s="268"/>
      <c r="S14" s="268"/>
    </row>
    <row r="15" spans="1:19" x14ac:dyDescent="0.2">
      <c r="A15" s="47"/>
      <c r="B15" s="53" t="s">
        <v>7</v>
      </c>
      <c r="C15" s="54">
        <v>198</v>
      </c>
      <c r="D15" s="54">
        <v>198</v>
      </c>
      <c r="E15" s="54">
        <v>902.74</v>
      </c>
      <c r="F15" s="198">
        <v>941</v>
      </c>
      <c r="G15" s="198">
        <v>0</v>
      </c>
      <c r="H15" s="198">
        <v>0</v>
      </c>
      <c r="I15" s="198">
        <v>0</v>
      </c>
      <c r="J15" s="198">
        <v>0</v>
      </c>
      <c r="K15" s="198">
        <v>0</v>
      </c>
      <c r="L15" s="43"/>
      <c r="M15" s="268"/>
      <c r="N15" s="268"/>
      <c r="O15" s="268"/>
      <c r="P15" s="268"/>
      <c r="Q15" s="268"/>
      <c r="R15" s="268"/>
      <c r="S15" s="268"/>
    </row>
    <row r="16" spans="1:19" x14ac:dyDescent="0.2">
      <c r="A16" s="47"/>
      <c r="B16" s="55" t="s">
        <v>8</v>
      </c>
      <c r="C16" s="56">
        <v>198</v>
      </c>
      <c r="D16" s="56">
        <v>198</v>
      </c>
      <c r="E16" s="56">
        <v>0</v>
      </c>
      <c r="F16" s="55">
        <v>0</v>
      </c>
      <c r="G16" s="55">
        <v>1082</v>
      </c>
      <c r="H16" s="55">
        <v>1166</v>
      </c>
      <c r="I16" s="55">
        <v>1222</v>
      </c>
      <c r="J16" s="55">
        <v>1278</v>
      </c>
      <c r="K16" s="55">
        <v>1306</v>
      </c>
      <c r="L16" s="43"/>
      <c r="M16" s="268"/>
      <c r="N16" s="268"/>
      <c r="O16" s="268"/>
      <c r="P16" s="268"/>
      <c r="Q16" s="268"/>
      <c r="R16" s="268"/>
      <c r="S16" s="268"/>
    </row>
    <row r="17" spans="1:21" x14ac:dyDescent="0.2">
      <c r="A17" s="47"/>
      <c r="B17" s="57" t="s">
        <v>9</v>
      </c>
      <c r="C17" s="58">
        <f>IF(C15&gt;0,C15-C16,0)</f>
        <v>0</v>
      </c>
      <c r="D17" s="58">
        <f t="shared" ref="D17:J17" si="1">IF(D15&gt;0,D15-D16,0)</f>
        <v>0</v>
      </c>
      <c r="E17" s="58">
        <f t="shared" si="1"/>
        <v>902.74</v>
      </c>
      <c r="F17" s="58">
        <f t="shared" si="1"/>
        <v>941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ref="K17" si="2">IF(K15&gt;0,K15-K16,0)</f>
        <v>0</v>
      </c>
      <c r="L17" s="43"/>
      <c r="M17" s="268"/>
      <c r="N17" s="268"/>
      <c r="O17" s="268"/>
      <c r="P17" s="268"/>
      <c r="Q17" s="268"/>
      <c r="R17" s="268"/>
      <c r="S17" s="268"/>
    </row>
    <row r="18" spans="1:21" x14ac:dyDescent="0.2">
      <c r="A18" s="47"/>
      <c r="B18" s="68"/>
      <c r="C18" s="199"/>
      <c r="D18" s="199"/>
      <c r="E18" s="199"/>
      <c r="F18" s="199"/>
      <c r="G18" s="199"/>
      <c r="H18" s="199"/>
      <c r="I18" s="199"/>
      <c r="J18" s="199"/>
      <c r="K18" s="199"/>
      <c r="L18" s="43"/>
      <c r="M18" s="268"/>
      <c r="N18" s="268"/>
      <c r="O18" s="268"/>
      <c r="P18" s="268"/>
      <c r="Q18" s="268"/>
      <c r="R18" s="268"/>
      <c r="S18" s="268"/>
    </row>
    <row r="19" spans="1:21" x14ac:dyDescent="0.2">
      <c r="A19" s="47"/>
      <c r="B19" s="184" t="s">
        <v>10</v>
      </c>
      <c r="C19" s="51"/>
      <c r="D19" s="51"/>
      <c r="E19" s="51"/>
      <c r="F19" s="51"/>
      <c r="G19" s="51"/>
      <c r="H19" s="51"/>
      <c r="I19" s="51"/>
      <c r="J19" s="51"/>
      <c r="K19" s="51"/>
      <c r="L19" s="43"/>
      <c r="M19" s="268"/>
      <c r="N19" s="268"/>
      <c r="O19" s="268"/>
      <c r="P19" s="268"/>
      <c r="Q19" s="268"/>
      <c r="R19" s="268"/>
      <c r="S19" s="268"/>
    </row>
    <row r="20" spans="1:21" x14ac:dyDescent="0.2">
      <c r="A20" s="47"/>
      <c r="B20" s="59" t="s">
        <v>188</v>
      </c>
      <c r="C20" s="195">
        <v>0</v>
      </c>
      <c r="D20" s="195">
        <v>0</v>
      </c>
      <c r="E20" s="195">
        <v>6830989</v>
      </c>
      <c r="F20" s="195">
        <v>7259654.7144773388</v>
      </c>
      <c r="G20" s="195">
        <v>8399407</v>
      </c>
      <c r="H20" s="195">
        <v>9109796</v>
      </c>
      <c r="I20" s="195">
        <v>9621886</v>
      </c>
      <c r="J20" s="195">
        <v>10143331</v>
      </c>
      <c r="K20" s="195">
        <v>10458322</v>
      </c>
      <c r="L20" s="43"/>
      <c r="M20" s="268"/>
      <c r="N20" s="268"/>
      <c r="O20" s="268"/>
      <c r="P20" s="268"/>
      <c r="Q20" s="268"/>
      <c r="R20" s="268"/>
      <c r="S20" s="268"/>
    </row>
    <row r="21" spans="1:21" x14ac:dyDescent="0.2">
      <c r="A21" s="47"/>
      <c r="B21" s="60" t="s">
        <v>189</v>
      </c>
      <c r="C21" s="193">
        <v>0</v>
      </c>
      <c r="D21" s="193">
        <v>0</v>
      </c>
      <c r="E21" s="193">
        <v>432840</v>
      </c>
      <c r="F21" s="193">
        <v>552482</v>
      </c>
      <c r="G21" s="193">
        <v>265544</v>
      </c>
      <c r="H21" s="193">
        <v>80524</v>
      </c>
      <c r="I21" s="193">
        <v>80524</v>
      </c>
      <c r="J21" s="193">
        <v>80524</v>
      </c>
      <c r="K21" s="193">
        <v>80524</v>
      </c>
      <c r="L21" s="43"/>
      <c r="M21" s="268"/>
      <c r="N21" s="268"/>
      <c r="O21" s="268"/>
      <c r="P21" s="268"/>
      <c r="Q21" s="268"/>
      <c r="R21" s="268"/>
      <c r="S21" s="268"/>
    </row>
    <row r="22" spans="1:21" x14ac:dyDescent="0.2">
      <c r="A22" s="47"/>
      <c r="B22" s="61" t="s">
        <v>190</v>
      </c>
      <c r="C22" s="194">
        <v>1069618.8</v>
      </c>
      <c r="D22" s="194">
        <v>984601.60000000009</v>
      </c>
      <c r="E22" s="194">
        <v>478017</v>
      </c>
      <c r="F22" s="194">
        <v>431196</v>
      </c>
      <c r="G22" s="194">
        <v>431196</v>
      </c>
      <c r="H22" s="194">
        <v>431196</v>
      </c>
      <c r="I22" s="194">
        <v>431196</v>
      </c>
      <c r="J22" s="194">
        <v>431196</v>
      </c>
      <c r="K22" s="194">
        <v>431196</v>
      </c>
      <c r="L22" s="43"/>
      <c r="M22" s="268"/>
      <c r="N22" s="268"/>
      <c r="O22" s="268"/>
      <c r="P22" s="268"/>
      <c r="Q22" s="268"/>
      <c r="R22" s="268"/>
      <c r="S22" s="268"/>
    </row>
    <row r="23" spans="1:21" x14ac:dyDescent="0.2">
      <c r="A23" s="47"/>
      <c r="B23" s="57" t="s">
        <v>11</v>
      </c>
      <c r="C23" s="86">
        <f>SUM(C20:C22)</f>
        <v>1069618.8</v>
      </c>
      <c r="D23" s="86">
        <f>SUM(D20:D22)</f>
        <v>984601.60000000009</v>
      </c>
      <c r="E23" s="86">
        <f t="shared" ref="E23:J23" si="3">SUM(E20:E22)</f>
        <v>7741846</v>
      </c>
      <c r="F23" s="86">
        <f t="shared" si="3"/>
        <v>8243332.7144773388</v>
      </c>
      <c r="G23" s="86">
        <f t="shared" si="3"/>
        <v>9096147</v>
      </c>
      <c r="H23" s="86">
        <f t="shared" si="3"/>
        <v>9621516</v>
      </c>
      <c r="I23" s="86">
        <f t="shared" si="3"/>
        <v>10133606</v>
      </c>
      <c r="J23" s="86">
        <f t="shared" si="3"/>
        <v>10655051</v>
      </c>
      <c r="K23" s="86">
        <f t="shared" ref="K23" si="4">SUM(K20:K22)</f>
        <v>10970042</v>
      </c>
      <c r="L23" s="43"/>
      <c r="M23" s="268"/>
      <c r="N23" s="268"/>
      <c r="O23" s="268"/>
      <c r="P23" s="268"/>
      <c r="Q23" s="268"/>
      <c r="R23" s="268"/>
      <c r="S23" s="268"/>
      <c r="T23" s="246"/>
      <c r="U23" s="246"/>
    </row>
    <row r="24" spans="1:21" x14ac:dyDescent="0.2">
      <c r="A24" s="62"/>
      <c r="B24" s="200" t="s">
        <v>12</v>
      </c>
      <c r="C24" s="201">
        <f t="shared" ref="C24:E24" si="5">IF(C$15&gt;0,C23/C$15,C23/C$16)</f>
        <v>5402.1151515151514</v>
      </c>
      <c r="D24" s="201">
        <f t="shared" si="5"/>
        <v>4972.7353535353541</v>
      </c>
      <c r="E24" s="201">
        <f t="shared" si="5"/>
        <v>8575.9421317322813</v>
      </c>
      <c r="F24" s="201">
        <f>IF(F$15&gt;0,F23/F$15,F23/F$16)</f>
        <v>8760.1835435465873</v>
      </c>
      <c r="G24" s="201">
        <f t="shared" ref="G24:J24" si="6">IF(G$15&gt;0,G23/G$15,G23/G$16)</f>
        <v>8406.7902033271712</v>
      </c>
      <c r="H24" s="201">
        <f t="shared" si="6"/>
        <v>8251.7289879931395</v>
      </c>
      <c r="I24" s="201">
        <f t="shared" si="6"/>
        <v>8292.6399345335522</v>
      </c>
      <c r="J24" s="201">
        <f t="shared" si="6"/>
        <v>8337.2856025039127</v>
      </c>
      <c r="K24" s="201">
        <f t="shared" ref="K24" si="7">IF(K$15&gt;0,K23/K$15,K23/K$16)</f>
        <v>8399.7258805513011</v>
      </c>
      <c r="L24" s="43"/>
      <c r="M24" s="268"/>
      <c r="N24" s="268"/>
      <c r="O24" s="268"/>
      <c r="P24" s="268"/>
      <c r="Q24" s="268"/>
      <c r="R24" s="268"/>
      <c r="S24" s="268"/>
    </row>
    <row r="25" spans="1:21" x14ac:dyDescent="0.2">
      <c r="A25" s="62"/>
      <c r="B25" s="63"/>
      <c r="C25" s="190"/>
      <c r="D25" s="190"/>
      <c r="E25" s="190"/>
      <c r="F25" s="190"/>
      <c r="G25" s="190"/>
      <c r="H25" s="190"/>
      <c r="I25" s="190"/>
      <c r="J25" s="190"/>
      <c r="K25" s="190"/>
      <c r="L25" s="43"/>
      <c r="M25" s="268"/>
      <c r="N25" s="268"/>
      <c r="O25" s="268"/>
      <c r="P25" s="268"/>
      <c r="Q25" s="268"/>
      <c r="R25" s="268"/>
      <c r="S25" s="268"/>
    </row>
    <row r="26" spans="1:21" x14ac:dyDescent="0.2">
      <c r="A26" s="47"/>
      <c r="B26" s="184" t="s">
        <v>13</v>
      </c>
      <c r="C26" s="51"/>
      <c r="D26" s="51"/>
      <c r="E26" s="51"/>
      <c r="F26" s="51"/>
      <c r="G26" s="51"/>
      <c r="H26" s="51"/>
      <c r="I26" s="51"/>
      <c r="J26" s="51"/>
      <c r="K26" s="51"/>
      <c r="L26" s="43"/>
      <c r="M26" s="268"/>
      <c r="N26" s="268"/>
      <c r="O26" s="268"/>
      <c r="P26" s="268"/>
      <c r="Q26" s="268"/>
      <c r="R26" s="268"/>
      <c r="S26" s="268"/>
    </row>
    <row r="27" spans="1:21" x14ac:dyDescent="0.2">
      <c r="A27" s="47"/>
      <c r="B27" s="64" t="s">
        <v>14</v>
      </c>
      <c r="C27" s="158">
        <v>383599.39500000002</v>
      </c>
      <c r="D27" s="158">
        <v>377105.22</v>
      </c>
      <c r="E27" s="159">
        <v>3512829.4003258669</v>
      </c>
      <c r="F27" s="159">
        <v>4612704</v>
      </c>
      <c r="G27" s="159">
        <v>4369883</v>
      </c>
      <c r="H27" s="159">
        <v>4979227</v>
      </c>
      <c r="I27" s="159">
        <v>5110425</v>
      </c>
      <c r="J27" s="159">
        <v>5241589</v>
      </c>
      <c r="K27" s="159">
        <v>5372987</v>
      </c>
      <c r="L27" s="43"/>
      <c r="M27" s="268"/>
      <c r="N27" s="268"/>
      <c r="O27" s="268"/>
      <c r="P27" s="268"/>
      <c r="Q27" s="268"/>
      <c r="R27" s="268"/>
      <c r="S27" s="268"/>
      <c r="T27" s="47"/>
    </row>
    <row r="28" spans="1:21" x14ac:dyDescent="0.2">
      <c r="A28" s="47"/>
      <c r="B28" s="65" t="s">
        <v>15</v>
      </c>
      <c r="C28" s="191">
        <v>170441.01</v>
      </c>
      <c r="D28" s="191">
        <v>179070.34500000003</v>
      </c>
      <c r="E28" s="191">
        <v>1964581.4391541332</v>
      </c>
      <c r="F28" s="191">
        <v>1798098.4417915987</v>
      </c>
      <c r="G28" s="191">
        <v>2097025.6162319309</v>
      </c>
      <c r="H28" s="191">
        <v>2330267.9934037346</v>
      </c>
      <c r="I28" s="191">
        <v>2449606.3705755384</v>
      </c>
      <c r="J28" s="191">
        <v>2507807.7477473421</v>
      </c>
      <c r="K28" s="191">
        <v>2566182.1249191463</v>
      </c>
      <c r="L28" s="43"/>
      <c r="M28" s="268"/>
      <c r="N28" s="268"/>
      <c r="O28" s="268"/>
      <c r="P28" s="268"/>
      <c r="Q28" s="268"/>
      <c r="R28" s="268"/>
      <c r="S28" s="268"/>
      <c r="T28" s="47"/>
      <c r="U28" s="47"/>
    </row>
    <row r="29" spans="1:21" x14ac:dyDescent="0.2">
      <c r="A29" s="47"/>
      <c r="B29" s="66" t="s">
        <v>16</v>
      </c>
      <c r="C29" s="192">
        <v>539545.45500000007</v>
      </c>
      <c r="D29" s="192">
        <v>220563</v>
      </c>
      <c r="E29" s="192">
        <v>1634073.1605199999</v>
      </c>
      <c r="F29" s="192">
        <v>1772993.5582084015</v>
      </c>
      <c r="G29" s="192">
        <v>1941646.3837680691</v>
      </c>
      <c r="H29" s="192">
        <v>2462919.0065962654</v>
      </c>
      <c r="I29" s="192">
        <v>2461886.6294244616</v>
      </c>
      <c r="J29" s="192">
        <v>2469547.2522526579</v>
      </c>
      <c r="K29" s="192">
        <v>2481905.8750808537</v>
      </c>
      <c r="L29" s="43"/>
      <c r="M29" s="268"/>
      <c r="N29" s="268"/>
      <c r="O29" s="268"/>
      <c r="P29" s="268"/>
      <c r="Q29" s="268"/>
      <c r="R29" s="268"/>
      <c r="S29" s="268"/>
      <c r="T29" s="47"/>
      <c r="U29" s="47"/>
    </row>
    <row r="30" spans="1:21" x14ac:dyDescent="0.2">
      <c r="A30" s="47"/>
      <c r="B30" s="48" t="s">
        <v>17</v>
      </c>
      <c r="C30" s="75">
        <f>SUM(C27:C29)</f>
        <v>1093585.8600000001</v>
      </c>
      <c r="D30" s="75">
        <f>SUM(D27:D29)</f>
        <v>776738.56499999994</v>
      </c>
      <c r="E30" s="75">
        <f t="shared" ref="E30:J30" si="8">SUM(E27:E29)</f>
        <v>7111484</v>
      </c>
      <c r="F30" s="75">
        <f t="shared" si="8"/>
        <v>8183796</v>
      </c>
      <c r="G30" s="75">
        <f t="shared" si="8"/>
        <v>8408555</v>
      </c>
      <c r="H30" s="75">
        <f t="shared" si="8"/>
        <v>9772414</v>
      </c>
      <c r="I30" s="75">
        <f t="shared" si="8"/>
        <v>10021918</v>
      </c>
      <c r="J30" s="75">
        <f t="shared" si="8"/>
        <v>10218944</v>
      </c>
      <c r="K30" s="75">
        <f t="shared" ref="K30" si="9">SUM(K27:K29)</f>
        <v>10421075</v>
      </c>
      <c r="L30" s="43"/>
      <c r="M30" s="268"/>
      <c r="N30" s="268"/>
      <c r="O30" s="268"/>
      <c r="P30" s="268"/>
      <c r="Q30" s="268"/>
      <c r="R30" s="268"/>
      <c r="S30" s="268"/>
    </row>
    <row r="31" spans="1:21" x14ac:dyDescent="0.2">
      <c r="A31" s="47"/>
      <c r="B31" s="200" t="s">
        <v>18</v>
      </c>
      <c r="C31" s="201">
        <f t="shared" ref="C31" si="10">IF(C$15&gt;0,C30/C$15,C30/C$16)</f>
        <v>5523.1609090909096</v>
      </c>
      <c r="D31" s="201">
        <f t="shared" ref="D31" si="11">IF(D$15&gt;0,D30/D$15,D30/D$16)</f>
        <v>3922.9220454545452</v>
      </c>
      <c r="E31" s="201">
        <f t="shared" ref="E31" si="12">IF(E$15&gt;0,E30/E$15,E30/E$16)</f>
        <v>7877.6657730908128</v>
      </c>
      <c r="F31" s="201">
        <f>IF(F$15&gt;0,F30/F$15,F30/F$16)</f>
        <v>8696.9139213602557</v>
      </c>
      <c r="G31" s="201">
        <f t="shared" ref="G31" si="13">IF(G$15&gt;0,G30/G$15,G30/G$16)</f>
        <v>7771.3077634011088</v>
      </c>
      <c r="H31" s="201">
        <f t="shared" ref="H31" si="14">IF(H$15&gt;0,H30/H$15,H30/H$16)</f>
        <v>8381.1440823327612</v>
      </c>
      <c r="I31" s="201">
        <f t="shared" ref="I31" si="15">IF(I$15&gt;0,I30/I$15,I30/I$16)</f>
        <v>8201.2422258592469</v>
      </c>
      <c r="J31" s="201">
        <f t="shared" ref="J31:K31" si="16">IF(J$15&gt;0,J30/J$15,J30/J$16)</f>
        <v>7996.0438184663535</v>
      </c>
      <c r="K31" s="201">
        <f t="shared" si="16"/>
        <v>7979.3836140888207</v>
      </c>
      <c r="L31" s="43"/>
      <c r="M31" s="268"/>
      <c r="N31" s="268"/>
      <c r="O31" s="268"/>
      <c r="P31" s="268"/>
      <c r="Q31" s="268"/>
      <c r="R31" s="268"/>
      <c r="S31" s="268"/>
    </row>
    <row r="32" spans="1:2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3"/>
      <c r="M32" s="268"/>
      <c r="N32" s="268"/>
      <c r="O32" s="268"/>
      <c r="P32" s="268"/>
      <c r="Q32" s="268"/>
      <c r="R32" s="268"/>
      <c r="S32" s="268"/>
    </row>
    <row r="33" spans="1:19" ht="13.5" thickBot="1" x14ac:dyDescent="0.25">
      <c r="A33" s="47"/>
      <c r="B33" s="196" t="s">
        <v>19</v>
      </c>
      <c r="C33" s="197">
        <f t="shared" ref="C33:J33" si="17">SUM(C20:C22)-C30</f>
        <v>-23967.060000000056</v>
      </c>
      <c r="D33" s="197">
        <f t="shared" si="17"/>
        <v>207863.03500000015</v>
      </c>
      <c r="E33" s="197">
        <f t="shared" si="17"/>
        <v>630362</v>
      </c>
      <c r="F33" s="197">
        <f t="shared" si="17"/>
        <v>59536.714477338828</v>
      </c>
      <c r="G33" s="197">
        <f t="shared" si="17"/>
        <v>687592</v>
      </c>
      <c r="H33" s="197">
        <f t="shared" si="17"/>
        <v>-150898</v>
      </c>
      <c r="I33" s="197">
        <f t="shared" si="17"/>
        <v>111688</v>
      </c>
      <c r="J33" s="197">
        <f t="shared" si="17"/>
        <v>436107</v>
      </c>
      <c r="K33" s="197">
        <f t="shared" ref="K33" si="18">SUM(K20:K22)-K30</f>
        <v>548967</v>
      </c>
      <c r="L33" s="43"/>
      <c r="M33" s="268"/>
      <c r="N33" s="268"/>
      <c r="O33" s="268"/>
      <c r="P33" s="268"/>
      <c r="Q33" s="268"/>
      <c r="R33" s="268"/>
      <c r="S33" s="268"/>
    </row>
    <row r="34" spans="1:19" ht="13.5" thickTop="1" x14ac:dyDescent="0.2">
      <c r="A34" s="47"/>
      <c r="B34" s="70" t="s">
        <v>20</v>
      </c>
      <c r="C34" s="48"/>
      <c r="D34" s="48"/>
      <c r="E34" s="48"/>
      <c r="F34" s="85">
        <f>+F33+E34</f>
        <v>59536.714477338828</v>
      </c>
      <c r="G34" s="85">
        <f t="shared" ref="G34:K34" si="19">+G33+F34</f>
        <v>747128.71447733883</v>
      </c>
      <c r="H34" s="85">
        <f t="shared" si="19"/>
        <v>596230.71447733883</v>
      </c>
      <c r="I34" s="85">
        <f t="shared" si="19"/>
        <v>707918.71447733883</v>
      </c>
      <c r="J34" s="85">
        <f t="shared" si="19"/>
        <v>1144025.7144773388</v>
      </c>
      <c r="K34" s="85">
        <f t="shared" si="19"/>
        <v>1692992.7144773388</v>
      </c>
      <c r="L34" s="43"/>
      <c r="M34" s="268"/>
      <c r="N34" s="268"/>
      <c r="O34" s="268"/>
      <c r="P34" s="268"/>
      <c r="Q34" s="268"/>
      <c r="R34" s="268"/>
      <c r="S34" s="268"/>
    </row>
    <row r="35" spans="1:19" x14ac:dyDescent="0.2">
      <c r="A35" s="47"/>
      <c r="B35" s="48"/>
      <c r="C35" s="68"/>
      <c r="D35" s="68"/>
      <c r="E35" s="68"/>
      <c r="F35" s="68"/>
      <c r="G35" s="68"/>
      <c r="H35" s="68"/>
      <c r="I35" s="68"/>
      <c r="J35" s="68"/>
      <c r="K35" s="68"/>
      <c r="L35" s="43"/>
      <c r="M35" s="185"/>
      <c r="N35" s="47"/>
      <c r="O35" s="47"/>
      <c r="P35" s="47"/>
      <c r="Q35" s="47"/>
      <c r="R35" s="47"/>
      <c r="S35" s="47"/>
    </row>
    <row r="36" spans="1:19" hidden="1" x14ac:dyDescent="0.2">
      <c r="A36" s="47"/>
      <c r="B36" s="50" t="s">
        <v>21</v>
      </c>
      <c r="C36" s="51"/>
      <c r="D36" s="51"/>
      <c r="E36" s="51"/>
      <c r="F36" s="51"/>
      <c r="G36" s="51"/>
      <c r="H36" s="51"/>
      <c r="I36" s="51"/>
      <c r="J36" s="51"/>
      <c r="K36" s="51"/>
      <c r="L36" s="43"/>
      <c r="N36" s="47"/>
      <c r="O36" s="47"/>
      <c r="P36" s="47"/>
      <c r="Q36" s="47"/>
      <c r="R36" s="47"/>
      <c r="S36" s="47"/>
    </row>
    <row r="37" spans="1:19" hidden="1" x14ac:dyDescent="0.2">
      <c r="A37" s="47"/>
      <c r="B37" s="78" t="e">
        <f>+#REF!</f>
        <v>#REF!</v>
      </c>
      <c r="C37" s="54">
        <v>0</v>
      </c>
      <c r="D37" s="54">
        <v>0</v>
      </c>
      <c r="E37" s="54">
        <v>0</v>
      </c>
      <c r="F37" s="53">
        <v>300000</v>
      </c>
      <c r="G37" s="53">
        <v>310000</v>
      </c>
      <c r="H37" s="53">
        <v>320000</v>
      </c>
      <c r="I37" s="53">
        <v>330000</v>
      </c>
      <c r="J37" s="53">
        <v>340000</v>
      </c>
      <c r="K37" s="53">
        <v>340000</v>
      </c>
      <c r="L37" s="43"/>
      <c r="N37" s="47"/>
      <c r="O37" s="47"/>
      <c r="P37" s="47"/>
      <c r="Q37" s="47"/>
      <c r="R37" s="47"/>
      <c r="S37" s="47"/>
    </row>
    <row r="38" spans="1:19" hidden="1" x14ac:dyDescent="0.2">
      <c r="A38" s="47"/>
      <c r="B38" s="79"/>
      <c r="C38" s="80">
        <v>0</v>
      </c>
      <c r="D38" s="80">
        <v>0</v>
      </c>
      <c r="E38" s="80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43"/>
      <c r="N38" s="47"/>
      <c r="O38" s="47"/>
      <c r="P38" s="47"/>
      <c r="Q38" s="47"/>
      <c r="R38" s="47"/>
      <c r="S38" s="47"/>
    </row>
    <row r="39" spans="1:19" hidden="1" x14ac:dyDescent="0.2">
      <c r="A39" s="47"/>
      <c r="B39" s="79"/>
      <c r="C39" s="80">
        <v>0</v>
      </c>
      <c r="D39" s="80">
        <v>0</v>
      </c>
      <c r="E39" s="80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43"/>
      <c r="N39" s="47"/>
      <c r="O39" s="47"/>
      <c r="P39" s="47"/>
      <c r="Q39" s="47"/>
      <c r="R39" s="47"/>
      <c r="S39" s="47"/>
    </row>
    <row r="40" spans="1:19" hidden="1" x14ac:dyDescent="0.2">
      <c r="A40" s="47"/>
      <c r="B40" s="79"/>
      <c r="C40" s="80">
        <v>0</v>
      </c>
      <c r="D40" s="80">
        <v>0</v>
      </c>
      <c r="E40" s="80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43"/>
      <c r="N40" s="47"/>
      <c r="O40" s="47"/>
      <c r="P40" s="47"/>
      <c r="Q40" s="47"/>
      <c r="R40" s="47"/>
      <c r="S40" s="47"/>
    </row>
    <row r="41" spans="1:19" hidden="1" x14ac:dyDescent="0.2">
      <c r="A41" s="47"/>
      <c r="B41" s="81" t="e">
        <f>+#REF!</f>
        <v>#REF!</v>
      </c>
      <c r="C41" s="83">
        <v>0</v>
      </c>
      <c r="D41" s="83">
        <v>0</v>
      </c>
      <c r="E41" s="83">
        <v>0</v>
      </c>
      <c r="F41" s="82"/>
      <c r="G41" s="82"/>
      <c r="H41" s="82"/>
      <c r="I41" s="82"/>
      <c r="J41" s="82"/>
      <c r="K41" s="82"/>
      <c r="L41" s="43"/>
      <c r="N41" s="47"/>
      <c r="O41" s="47"/>
      <c r="P41" s="47"/>
      <c r="Q41" s="47"/>
      <c r="R41" s="47"/>
      <c r="S41" s="47"/>
    </row>
    <row r="42" spans="1:19" hidden="1" x14ac:dyDescent="0.2">
      <c r="A42" s="47"/>
      <c r="B42" s="48" t="s">
        <v>22</v>
      </c>
      <c r="C42" s="75">
        <f t="shared" ref="C42:J42" si="20">SUM(C37:C41)</f>
        <v>0</v>
      </c>
      <c r="D42" s="75">
        <f t="shared" si="20"/>
        <v>0</v>
      </c>
      <c r="E42" s="75">
        <f t="shared" si="20"/>
        <v>0</v>
      </c>
      <c r="F42" s="75">
        <f t="shared" si="20"/>
        <v>300000</v>
      </c>
      <c r="G42" s="75">
        <f t="shared" si="20"/>
        <v>310000</v>
      </c>
      <c r="H42" s="75">
        <f t="shared" si="20"/>
        <v>320000</v>
      </c>
      <c r="I42" s="75">
        <f t="shared" si="20"/>
        <v>330000</v>
      </c>
      <c r="J42" s="75">
        <f t="shared" si="20"/>
        <v>340000</v>
      </c>
      <c r="K42" s="75">
        <f t="shared" ref="K42" si="21">SUM(K37:K41)</f>
        <v>340000</v>
      </c>
      <c r="L42" s="43"/>
      <c r="N42" s="47"/>
      <c r="O42" s="47"/>
      <c r="P42" s="47"/>
      <c r="Q42" s="47"/>
      <c r="R42" s="47"/>
      <c r="S42" s="47"/>
    </row>
    <row r="43" spans="1:19" hidden="1" x14ac:dyDescent="0.2">
      <c r="A43" s="47"/>
      <c r="B43" s="48" t="s">
        <v>23</v>
      </c>
      <c r="C43" s="164" t="e">
        <f>IF(#REF!&gt;0,C42/#REF!/12,0)</f>
        <v>#REF!</v>
      </c>
      <c r="D43" s="164" t="e">
        <f>IF(#REF!&gt;0,D42/#REF!/12,0)</f>
        <v>#REF!</v>
      </c>
      <c r="E43" s="164" t="e">
        <f>IF(#REF!&gt;0,E42/#REF!/12,0)</f>
        <v>#REF!</v>
      </c>
      <c r="F43" s="164" t="e">
        <f>IF(#REF!&gt;0,F42/#REF!/12,0)</f>
        <v>#REF!</v>
      </c>
      <c r="G43" s="164" t="e">
        <f>IF(#REF!&gt;0,G42/#REF!/12,0)</f>
        <v>#REF!</v>
      </c>
      <c r="H43" s="164" t="e">
        <f>IF(#REF!&gt;0,H42/#REF!/12,0)</f>
        <v>#REF!</v>
      </c>
      <c r="I43" s="164" t="e">
        <f>IF(#REF!&gt;0,I42/#REF!/12,0)</f>
        <v>#REF!</v>
      </c>
      <c r="J43" s="164" t="e">
        <f>IF(#REF!&gt;0,J42/#REF!/12,0)</f>
        <v>#REF!</v>
      </c>
      <c r="K43" s="164" t="e">
        <f>IF(#REF!&gt;0,K42/#REF!/12,0)</f>
        <v>#REF!</v>
      </c>
      <c r="L43" s="43"/>
      <c r="N43" s="47"/>
      <c r="O43" s="47"/>
      <c r="P43" s="47"/>
      <c r="Q43" s="47"/>
      <c r="R43" s="47"/>
      <c r="S43" s="47"/>
    </row>
    <row r="44" spans="1:19" hidden="1" x14ac:dyDescent="0.2">
      <c r="A44" s="47"/>
      <c r="B44" s="48"/>
      <c r="C44" s="75"/>
      <c r="D44" s="75"/>
      <c r="E44" s="75"/>
      <c r="F44" s="75"/>
      <c r="G44" s="75"/>
      <c r="H44" s="75"/>
      <c r="I44" s="75"/>
      <c r="J44" s="75"/>
      <c r="K44" s="75"/>
      <c r="L44" s="43"/>
      <c r="N44" s="47"/>
      <c r="O44" s="47"/>
      <c r="P44" s="47"/>
      <c r="Q44" s="47"/>
      <c r="R44" s="47"/>
      <c r="S44" s="47"/>
    </row>
    <row r="45" spans="1:19" hidden="1" x14ac:dyDescent="0.2">
      <c r="A45" s="47"/>
      <c r="B45" s="50" t="s">
        <v>24</v>
      </c>
      <c r="C45" s="51"/>
      <c r="D45" s="51"/>
      <c r="E45" s="51"/>
      <c r="F45" s="51"/>
      <c r="G45" s="51"/>
      <c r="H45" s="51"/>
      <c r="I45" s="51"/>
      <c r="J45" s="51"/>
      <c r="K45" s="51"/>
      <c r="L45" s="43"/>
      <c r="N45" s="47"/>
      <c r="O45" s="47"/>
      <c r="P45" s="47"/>
      <c r="Q45" s="47"/>
      <c r="R45" s="47"/>
      <c r="S45" s="47"/>
    </row>
    <row r="46" spans="1:19" hidden="1" x14ac:dyDescent="0.2">
      <c r="A46" s="47"/>
      <c r="B46" s="84" t="s">
        <v>25</v>
      </c>
      <c r="C46" s="154" t="e">
        <f>+#REF!*C23</f>
        <v>#REF!</v>
      </c>
      <c r="D46" s="154" t="e">
        <f>+#REF!*D23</f>
        <v>#REF!</v>
      </c>
      <c r="E46" s="154" t="e">
        <f>+#REF!*E23</f>
        <v>#REF!</v>
      </c>
      <c r="F46" s="154" t="e">
        <f>+#REF!*F23</f>
        <v>#REF!</v>
      </c>
      <c r="G46" s="154" t="e">
        <f>+#REF!*G23</f>
        <v>#REF!</v>
      </c>
      <c r="H46" s="154" t="e">
        <f>+#REF!*H23</f>
        <v>#REF!</v>
      </c>
      <c r="I46" s="154" t="e">
        <f>+#REF!*I23</f>
        <v>#REF!</v>
      </c>
      <c r="J46" s="154" t="e">
        <f>+#REF!*J23</f>
        <v>#REF!</v>
      </c>
      <c r="K46" s="154" t="e">
        <f>+#REF!*K23</f>
        <v>#REF!</v>
      </c>
      <c r="L46" s="43"/>
      <c r="N46" s="47"/>
      <c r="O46" s="47"/>
      <c r="P46" s="47"/>
      <c r="Q46" s="47"/>
      <c r="R46" s="47"/>
      <c r="S46" s="47"/>
    </row>
    <row r="47" spans="1:19" hidden="1" x14ac:dyDescent="0.2">
      <c r="B47" s="70" t="s">
        <v>26</v>
      </c>
      <c r="C47" s="162"/>
      <c r="D47" s="162"/>
      <c r="E47" s="163">
        <f t="shared" ref="E47:J47" si="22">IFERROR(E42/E23,0)</f>
        <v>0</v>
      </c>
      <c r="F47" s="163">
        <f t="shared" si="22"/>
        <v>3.6393047616909299E-2</v>
      </c>
      <c r="G47" s="163">
        <f t="shared" si="22"/>
        <v>3.4080363916722103E-2</v>
      </c>
      <c r="H47" s="163">
        <f t="shared" si="22"/>
        <v>3.3258792065616272E-2</v>
      </c>
      <c r="I47" s="163">
        <f t="shared" si="22"/>
        <v>3.2564913220427164E-2</v>
      </c>
      <c r="J47" s="163">
        <f t="shared" si="22"/>
        <v>3.1909748719175533E-2</v>
      </c>
      <c r="K47" s="163">
        <f t="shared" ref="K47" si="23">IFERROR(K42/K23,0)</f>
        <v>3.0993500298358019E-2</v>
      </c>
      <c r="L47" s="43"/>
      <c r="N47" s="47"/>
      <c r="O47" s="47"/>
      <c r="P47" s="47"/>
      <c r="Q47" s="47"/>
      <c r="R47" s="47"/>
      <c r="S47" s="47"/>
    </row>
    <row r="48" spans="1:19" hidden="1" x14ac:dyDescent="0.2">
      <c r="A48" s="47"/>
      <c r="B48" s="48" t="s">
        <v>27</v>
      </c>
      <c r="C48" s="76"/>
      <c r="D48" s="76">
        <f t="shared" ref="D48:K48" si="24">IFERROR(D42/C42-1,0)</f>
        <v>0</v>
      </c>
      <c r="E48" s="76">
        <f t="shared" si="24"/>
        <v>0</v>
      </c>
      <c r="F48" s="76">
        <f t="shared" si="24"/>
        <v>0</v>
      </c>
      <c r="G48" s="76">
        <f t="shared" si="24"/>
        <v>3.3333333333333437E-2</v>
      </c>
      <c r="H48" s="76">
        <f t="shared" si="24"/>
        <v>3.2258064516129004E-2</v>
      </c>
      <c r="I48" s="76">
        <f t="shared" si="24"/>
        <v>3.125E-2</v>
      </c>
      <c r="J48" s="76">
        <f t="shared" si="24"/>
        <v>3.0303030303030276E-2</v>
      </c>
      <c r="K48" s="76">
        <f t="shared" si="24"/>
        <v>0</v>
      </c>
      <c r="L48" s="43"/>
      <c r="N48" s="47"/>
      <c r="O48" s="47"/>
      <c r="P48" s="47"/>
      <c r="Q48" s="47"/>
      <c r="R48" s="47"/>
      <c r="S48" s="47"/>
    </row>
    <row r="49" spans="1:19" hidden="1" x14ac:dyDescent="0.2">
      <c r="A49" s="47"/>
      <c r="L49" s="43"/>
      <c r="N49" s="47"/>
      <c r="O49" s="47"/>
      <c r="P49" s="47"/>
      <c r="Q49" s="47"/>
      <c r="R49" s="47"/>
      <c r="S49" s="47"/>
    </row>
    <row r="50" spans="1:19" hidden="1" x14ac:dyDescent="0.2">
      <c r="A50" s="47"/>
      <c r="B50" s="48" t="e">
        <f>+#REF!</f>
        <v>#REF!</v>
      </c>
      <c r="C50" s="85" t="e">
        <f>+#REF!</f>
        <v>#REF!</v>
      </c>
      <c r="D50" s="85" t="e">
        <f>+#REF!</f>
        <v>#REF!</v>
      </c>
      <c r="E50" s="85" t="e">
        <f>+#REF!</f>
        <v>#REF!</v>
      </c>
      <c r="F50" s="85" t="e">
        <f>+#REF!</f>
        <v>#REF!</v>
      </c>
      <c r="G50" s="85" t="e">
        <f>+#REF!</f>
        <v>#REF!</v>
      </c>
      <c r="H50" s="85" t="e">
        <f>+#REF!</f>
        <v>#REF!</v>
      </c>
      <c r="I50" s="85" t="e">
        <f>+#REF!</f>
        <v>#REF!</v>
      </c>
      <c r="J50" s="85" t="e">
        <f>+#REF!</f>
        <v>#REF!</v>
      </c>
      <c r="K50" s="85" t="e">
        <f>+#REF!</f>
        <v>#REF!</v>
      </c>
      <c r="L50" s="43"/>
      <c r="N50" s="47"/>
      <c r="O50" s="47"/>
      <c r="P50" s="47"/>
      <c r="Q50" s="47"/>
      <c r="R50" s="47"/>
      <c r="S50" s="47"/>
    </row>
    <row r="51" spans="1:19" hidden="1" x14ac:dyDescent="0.2">
      <c r="A51" s="47"/>
      <c r="B51" s="48" t="str">
        <f>+B42</f>
        <v>Total Acquisition Payments</v>
      </c>
      <c r="C51" s="48">
        <f t="shared" ref="C51:J51" si="25">+C42</f>
        <v>0</v>
      </c>
      <c r="D51" s="48">
        <f t="shared" si="25"/>
        <v>0</v>
      </c>
      <c r="E51" s="48">
        <f t="shared" si="25"/>
        <v>0</v>
      </c>
      <c r="F51" s="48">
        <f t="shared" si="25"/>
        <v>300000</v>
      </c>
      <c r="G51" s="48">
        <f t="shared" si="25"/>
        <v>310000</v>
      </c>
      <c r="H51" s="48">
        <f t="shared" si="25"/>
        <v>320000</v>
      </c>
      <c r="I51" s="48">
        <f t="shared" si="25"/>
        <v>330000</v>
      </c>
      <c r="J51" s="48">
        <f t="shared" si="25"/>
        <v>340000</v>
      </c>
      <c r="K51" s="48">
        <f t="shared" ref="K51" si="26">+K42</f>
        <v>340000</v>
      </c>
      <c r="L51" s="43"/>
      <c r="N51" s="47"/>
      <c r="O51" s="47"/>
      <c r="P51" s="47"/>
      <c r="Q51" s="47"/>
      <c r="R51" s="47"/>
      <c r="S51" s="47"/>
    </row>
    <row r="52" spans="1:19" hidden="1" x14ac:dyDescent="0.2">
      <c r="A52" s="47"/>
      <c r="B52" s="57" t="s">
        <v>28</v>
      </c>
      <c r="C52" s="161">
        <f>IF(C51&gt;0,C50-C51,0)</f>
        <v>0</v>
      </c>
      <c r="D52" s="161">
        <f t="shared" ref="D52:J52" si="27">IF(D51&gt;0,D50-D51,0)</f>
        <v>0</v>
      </c>
      <c r="E52" s="161">
        <f t="shared" si="27"/>
        <v>0</v>
      </c>
      <c r="F52" s="161" t="e">
        <f t="shared" si="27"/>
        <v>#REF!</v>
      </c>
      <c r="G52" s="161" t="e">
        <f t="shared" si="27"/>
        <v>#REF!</v>
      </c>
      <c r="H52" s="161" t="e">
        <f t="shared" si="27"/>
        <v>#REF!</v>
      </c>
      <c r="I52" s="161" t="e">
        <f t="shared" si="27"/>
        <v>#REF!</v>
      </c>
      <c r="J52" s="161" t="e">
        <f t="shared" si="27"/>
        <v>#REF!</v>
      </c>
      <c r="K52" s="161" t="e">
        <f t="shared" ref="K52" si="28">IF(K51&gt;0,K50-K51,0)</f>
        <v>#REF!</v>
      </c>
      <c r="L52" s="43"/>
      <c r="N52" s="47"/>
      <c r="O52" s="47"/>
      <c r="P52" s="47"/>
      <c r="Q52" s="47"/>
      <c r="R52" s="47"/>
      <c r="S52" s="47"/>
    </row>
    <row r="53" spans="1:19" hidden="1" x14ac:dyDescent="0.2">
      <c r="A53" s="47"/>
      <c r="B53" s="48"/>
      <c r="C53" s="77"/>
      <c r="D53" s="77"/>
      <c r="E53" s="77"/>
      <c r="F53" s="160"/>
      <c r="G53" s="77"/>
      <c r="H53" s="77"/>
      <c r="I53" s="77"/>
      <c r="J53" s="77"/>
      <c r="K53" s="77"/>
      <c r="L53" s="43"/>
      <c r="N53" s="47"/>
      <c r="O53" s="47"/>
      <c r="P53" s="47"/>
      <c r="Q53" s="47"/>
      <c r="R53" s="47"/>
      <c r="S53" s="47"/>
    </row>
    <row r="54" spans="1:19" hidden="1" x14ac:dyDescent="0.2">
      <c r="A54" s="47"/>
      <c r="B54" s="48" t="s">
        <v>29</v>
      </c>
      <c r="C54" s="48"/>
      <c r="D54" s="48"/>
      <c r="E54" s="85" t="e">
        <f>+E33-#REF!</f>
        <v>#REF!</v>
      </c>
      <c r="F54" s="85" t="e">
        <f>+F33-#REF!</f>
        <v>#REF!</v>
      </c>
      <c r="G54" s="85" t="e">
        <f>+G33-#REF!</f>
        <v>#REF!</v>
      </c>
      <c r="H54" s="85" t="e">
        <f>+H33-#REF!</f>
        <v>#REF!</v>
      </c>
      <c r="I54" s="85" t="e">
        <f>+I33-#REF!</f>
        <v>#REF!</v>
      </c>
      <c r="J54" s="85" t="e">
        <f>+J33-#REF!</f>
        <v>#REF!</v>
      </c>
      <c r="K54" s="85" t="e">
        <f>+K33-#REF!</f>
        <v>#REF!</v>
      </c>
      <c r="L54" s="43"/>
      <c r="N54" s="47"/>
      <c r="O54" s="47"/>
      <c r="P54" s="47"/>
      <c r="Q54" s="47"/>
      <c r="R54" s="47"/>
      <c r="S54" s="47"/>
    </row>
    <row r="55" spans="1:19" hidden="1" x14ac:dyDescent="0.2">
      <c r="A55" s="47"/>
      <c r="B55" s="48" t="s">
        <v>30</v>
      </c>
      <c r="C55" s="48"/>
      <c r="D55" s="48"/>
      <c r="E55" s="48">
        <f t="shared" ref="E55:J55" si="29">+E33-E42</f>
        <v>630362</v>
      </c>
      <c r="F55" s="48">
        <f t="shared" si="29"/>
        <v>-240463.28552266117</v>
      </c>
      <c r="G55" s="48">
        <f t="shared" si="29"/>
        <v>377592</v>
      </c>
      <c r="H55" s="48">
        <f t="shared" si="29"/>
        <v>-470898</v>
      </c>
      <c r="I55" s="48">
        <f t="shared" si="29"/>
        <v>-218312</v>
      </c>
      <c r="J55" s="48">
        <f t="shared" si="29"/>
        <v>96107</v>
      </c>
      <c r="K55" s="48">
        <f t="shared" ref="K55" si="30">+K33-K42</f>
        <v>208967</v>
      </c>
      <c r="L55" s="43"/>
      <c r="N55" s="47"/>
      <c r="O55" s="47"/>
      <c r="P55" s="47"/>
      <c r="Q55" s="47"/>
      <c r="R55" s="47"/>
      <c r="S55" s="47"/>
    </row>
    <row r="56" spans="1:19" hidden="1" x14ac:dyDescent="0.2">
      <c r="A56" s="47"/>
      <c r="B56" s="57" t="s">
        <v>31</v>
      </c>
      <c r="C56" s="57"/>
      <c r="D56" s="57"/>
      <c r="E56" s="86" t="e">
        <f>+E55-E54</f>
        <v>#REF!</v>
      </c>
      <c r="F56" s="86" t="e">
        <f t="shared" ref="F56:J56" si="31">+F55-F54</f>
        <v>#REF!</v>
      </c>
      <c r="G56" s="86" t="e">
        <f t="shared" si="31"/>
        <v>#REF!</v>
      </c>
      <c r="H56" s="86" t="e">
        <f t="shared" si="31"/>
        <v>#REF!</v>
      </c>
      <c r="I56" s="86" t="e">
        <f t="shared" si="31"/>
        <v>#REF!</v>
      </c>
      <c r="J56" s="86" t="e">
        <f t="shared" si="31"/>
        <v>#REF!</v>
      </c>
      <c r="K56" s="86" t="e">
        <f t="shared" ref="K56" si="32">+K55-K54</f>
        <v>#REF!</v>
      </c>
      <c r="L56" s="43"/>
      <c r="N56" s="47"/>
      <c r="O56" s="47"/>
      <c r="P56" s="47"/>
      <c r="Q56" s="47"/>
      <c r="R56" s="47"/>
      <c r="S56" s="47"/>
    </row>
    <row r="57" spans="1:19" hidden="1" x14ac:dyDescent="0.2">
      <c r="A57" s="47"/>
      <c r="B57" s="70" t="s">
        <v>32</v>
      </c>
      <c r="C57" s="87">
        <f>IFERROR(C56/#REF!,0)</f>
        <v>0</v>
      </c>
      <c r="D57" s="87">
        <f>IFERROR(D56/#REF!,0)</f>
        <v>0</v>
      </c>
      <c r="E57" s="87">
        <f>IFERROR(E56/#REF!,0)</f>
        <v>0</v>
      </c>
      <c r="F57" s="87">
        <f>IFERROR(F56/#REF!,0)</f>
        <v>0</v>
      </c>
      <c r="G57" s="87">
        <f>IFERROR(G56/#REF!,0)</f>
        <v>0</v>
      </c>
      <c r="H57" s="87">
        <f>IFERROR(H56/#REF!,0)</f>
        <v>0</v>
      </c>
      <c r="I57" s="87">
        <f>IFERROR(I56/#REF!,0)</f>
        <v>0</v>
      </c>
      <c r="J57" s="87">
        <f>IFERROR(J56/#REF!,0)</f>
        <v>0</v>
      </c>
      <c r="K57" s="87">
        <f>IFERROR(K56/#REF!,0)</f>
        <v>0</v>
      </c>
      <c r="L57" s="48"/>
      <c r="M57" s="47"/>
      <c r="N57" s="47"/>
      <c r="O57" s="47"/>
      <c r="P57" s="47"/>
      <c r="Q57" s="47"/>
      <c r="R57" s="47"/>
      <c r="S57" s="47"/>
    </row>
    <row r="58" spans="1:19" hidden="1" x14ac:dyDescent="0.2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7"/>
      <c r="N58" s="47"/>
      <c r="O58" s="47"/>
      <c r="P58" s="47"/>
      <c r="Q58" s="47"/>
      <c r="R58" s="47"/>
      <c r="S58" s="47"/>
    </row>
    <row r="59" spans="1:19" hidden="1" x14ac:dyDescent="0.2">
      <c r="A59" s="47"/>
      <c r="B59" s="48" t="s">
        <v>29</v>
      </c>
      <c r="C59" s="48"/>
      <c r="D59" s="48"/>
      <c r="E59" s="88" t="e">
        <f t="shared" ref="E59:J59" si="33">+E54</f>
        <v>#REF!</v>
      </c>
      <c r="F59" s="85" t="e">
        <f t="shared" si="33"/>
        <v>#REF!</v>
      </c>
      <c r="G59" s="85" t="e">
        <f t="shared" si="33"/>
        <v>#REF!</v>
      </c>
      <c r="H59" s="85" t="e">
        <f t="shared" si="33"/>
        <v>#REF!</v>
      </c>
      <c r="I59" s="85" t="e">
        <f t="shared" si="33"/>
        <v>#REF!</v>
      </c>
      <c r="J59" s="85" t="e">
        <f t="shared" si="33"/>
        <v>#REF!</v>
      </c>
      <c r="K59" s="85" t="e">
        <f t="shared" ref="K59" si="34">+K54</f>
        <v>#REF!</v>
      </c>
      <c r="L59" s="48"/>
      <c r="M59" s="47"/>
      <c r="N59" s="47"/>
      <c r="O59" s="47"/>
      <c r="P59" s="47"/>
      <c r="Q59" s="47"/>
      <c r="R59" s="47"/>
      <c r="S59" s="47"/>
    </row>
    <row r="60" spans="1:19" hidden="1" x14ac:dyDescent="0.2">
      <c r="A60" s="47"/>
      <c r="B60" s="48" t="s">
        <v>33</v>
      </c>
      <c r="C60" s="48"/>
      <c r="D60" s="48"/>
      <c r="E60" s="89" t="e">
        <f t="shared" ref="E60:J60" si="35">+E33-E42-E46</f>
        <v>#REF!</v>
      </c>
      <c r="F60" s="89" t="e">
        <f t="shared" si="35"/>
        <v>#REF!</v>
      </c>
      <c r="G60" s="89" t="e">
        <f t="shared" si="35"/>
        <v>#REF!</v>
      </c>
      <c r="H60" s="89" t="e">
        <f t="shared" si="35"/>
        <v>#REF!</v>
      </c>
      <c r="I60" s="89" t="e">
        <f t="shared" si="35"/>
        <v>#REF!</v>
      </c>
      <c r="J60" s="89" t="e">
        <f t="shared" si="35"/>
        <v>#REF!</v>
      </c>
      <c r="K60" s="89" t="e">
        <f t="shared" ref="K60" si="36">+K33-K42-K46</f>
        <v>#REF!</v>
      </c>
      <c r="L60" s="47"/>
      <c r="M60" s="47"/>
      <c r="N60" s="47"/>
      <c r="O60" s="47"/>
      <c r="P60" s="47"/>
      <c r="Q60" s="47"/>
      <c r="R60" s="47"/>
      <c r="S60" s="47"/>
    </row>
    <row r="61" spans="1:19" hidden="1" x14ac:dyDescent="0.2">
      <c r="A61" s="47"/>
      <c r="B61" s="57" t="s">
        <v>31</v>
      </c>
      <c r="C61" s="57"/>
      <c r="D61" s="57"/>
      <c r="E61" s="86" t="e">
        <f>+E60-E59</f>
        <v>#REF!</v>
      </c>
      <c r="F61" s="86" t="e">
        <f t="shared" ref="F61:J61" si="37">+F60-F59</f>
        <v>#REF!</v>
      </c>
      <c r="G61" s="86" t="e">
        <f t="shared" si="37"/>
        <v>#REF!</v>
      </c>
      <c r="H61" s="86" t="e">
        <f t="shared" si="37"/>
        <v>#REF!</v>
      </c>
      <c r="I61" s="86" t="e">
        <f t="shared" si="37"/>
        <v>#REF!</v>
      </c>
      <c r="J61" s="86" t="e">
        <f t="shared" si="37"/>
        <v>#REF!</v>
      </c>
      <c r="K61" s="86" t="e">
        <f t="shared" ref="K61" si="38">+K60-K59</f>
        <v>#REF!</v>
      </c>
      <c r="L61" s="47"/>
      <c r="M61" s="47"/>
      <c r="N61" s="47"/>
      <c r="O61" s="47"/>
      <c r="P61" s="47"/>
      <c r="Q61" s="47"/>
      <c r="R61" s="47"/>
      <c r="S61" s="47"/>
    </row>
    <row r="62" spans="1:19" hidden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hidden="1" x14ac:dyDescent="0.2">
      <c r="A63" s="47"/>
      <c r="B63" s="153" t="s">
        <v>34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1:19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x14ac:dyDescent="0.2">
      <c r="A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x14ac:dyDescent="0.2">
      <c r="A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1:19" x14ac:dyDescent="0.2">
      <c r="A67" s="47"/>
      <c r="B67" s="22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1:19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1:19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</sheetData>
  <mergeCells count="24">
    <mergeCell ref="M22:S22"/>
    <mergeCell ref="M11:S11"/>
    <mergeCell ref="M12:S12"/>
    <mergeCell ref="M13:S13"/>
    <mergeCell ref="M14:S14"/>
    <mergeCell ref="M15:S15"/>
    <mergeCell ref="M16:S16"/>
    <mergeCell ref="M17:S17"/>
    <mergeCell ref="M18:S18"/>
    <mergeCell ref="M19:S19"/>
    <mergeCell ref="M20:S20"/>
    <mergeCell ref="M21:S21"/>
    <mergeCell ref="M34:S34"/>
    <mergeCell ref="M23:S23"/>
    <mergeCell ref="M24:S24"/>
    <mergeCell ref="M25:S25"/>
    <mergeCell ref="M26:S26"/>
    <mergeCell ref="M27:S27"/>
    <mergeCell ref="M28:S28"/>
    <mergeCell ref="M29:S29"/>
    <mergeCell ref="M30:S30"/>
    <mergeCell ref="M31:S31"/>
    <mergeCell ref="M32:S32"/>
    <mergeCell ref="M33:S33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50"/>
  <sheetViews>
    <sheetView showGridLines="0" tabSelected="1" zoomScaleNormal="100" zoomScaleSheetLayoutView="145" workbookViewId="0">
      <pane xSplit="3" ySplit="13" topLeftCell="D40" activePane="bottomRight" state="frozen"/>
      <selection pane="topRight" activeCell="D1" sqref="D1"/>
      <selection pane="bottomLeft" activeCell="A14" sqref="A14"/>
      <selection pane="bottomRight" activeCell="F44" sqref="F44"/>
    </sheetView>
  </sheetViews>
  <sheetFormatPr defaultColWidth="9.140625" defaultRowHeight="12.75" x14ac:dyDescent="0.2"/>
  <cols>
    <col min="1" max="1" width="1.85546875" style="39" customWidth="1"/>
    <col min="2" max="2" width="27.28515625" style="39" customWidth="1"/>
    <col min="3" max="3" width="11" style="39" hidden="1" customWidth="1"/>
    <col min="4" max="6" width="11" style="39" customWidth="1"/>
    <col min="7" max="8" width="13.7109375" style="39" customWidth="1"/>
    <col min="9" max="10" width="12.7109375" style="39" customWidth="1"/>
    <col min="11" max="11" width="1.7109375" style="39" customWidth="1"/>
    <col min="12" max="12" width="9.140625" style="39" customWidth="1"/>
    <col min="13" max="13" width="9.85546875" style="39" bestFit="1" customWidth="1"/>
    <col min="14" max="14" width="9.140625" style="39"/>
    <col min="15" max="17" width="10.28515625" style="39" bestFit="1" customWidth="1"/>
    <col min="18" max="16384" width="9.140625" style="39"/>
  </cols>
  <sheetData>
    <row r="1" spans="1:18" ht="15.75" x14ac:dyDescent="0.25">
      <c r="A1" s="230" t="s">
        <v>184</v>
      </c>
      <c r="B1" s="231"/>
      <c r="C1" s="231"/>
      <c r="D1" s="231"/>
      <c r="E1" s="231"/>
      <c r="F1" s="40"/>
      <c r="G1" s="40"/>
      <c r="H1" s="40"/>
      <c r="I1" s="40"/>
      <c r="J1" s="40"/>
    </row>
    <row r="2" spans="1:18" ht="15.75" x14ac:dyDescent="0.25">
      <c r="A2" s="165" t="s">
        <v>206</v>
      </c>
      <c r="B2" s="166"/>
      <c r="C2" s="166"/>
      <c r="D2" s="166"/>
      <c r="E2" s="166"/>
      <c r="F2" s="43" t="s">
        <v>0</v>
      </c>
      <c r="G2" s="43"/>
      <c r="H2" s="43"/>
    </row>
    <row r="3" spans="1:18" x14ac:dyDescent="0.2">
      <c r="A3" s="44" t="s">
        <v>1</v>
      </c>
      <c r="I3" s="236" t="s">
        <v>2</v>
      </c>
      <c r="J3" s="233"/>
    </row>
    <row r="4" spans="1:18" x14ac:dyDescent="0.2">
      <c r="A4" s="45" t="s">
        <v>3</v>
      </c>
      <c r="I4" s="247" t="s">
        <v>178</v>
      </c>
    </row>
    <row r="5" spans="1:18" x14ac:dyDescent="0.2">
      <c r="A5" s="45"/>
      <c r="I5" s="247"/>
    </row>
    <row r="6" spans="1:18" x14ac:dyDescent="0.2">
      <c r="A6" s="45"/>
      <c r="B6" s="227" t="s">
        <v>187</v>
      </c>
      <c r="I6" s="247"/>
    </row>
    <row r="7" spans="1:18" x14ac:dyDescent="0.2">
      <c r="A7" s="45"/>
      <c r="B7" s="227" t="s">
        <v>186</v>
      </c>
      <c r="I7" s="247"/>
    </row>
    <row r="8" spans="1:18" x14ac:dyDescent="0.2">
      <c r="A8" s="45"/>
      <c r="B8" s="249" t="s">
        <v>185</v>
      </c>
      <c r="I8" s="247"/>
    </row>
    <row r="9" spans="1:18" x14ac:dyDescent="0.2">
      <c r="A9" s="45"/>
      <c r="B9" s="249"/>
      <c r="I9" s="247"/>
    </row>
    <row r="10" spans="1:18" x14ac:dyDescent="0.2">
      <c r="A10" s="45"/>
      <c r="I10" s="247"/>
    </row>
    <row r="11" spans="1:18" ht="15.75" x14ac:dyDescent="0.25">
      <c r="A11" s="46"/>
      <c r="C11" s="186"/>
      <c r="D11" s="186"/>
      <c r="E11" s="187" t="s">
        <v>4</v>
      </c>
      <c r="F11" s="188" t="s">
        <v>5</v>
      </c>
      <c r="G11" s="189"/>
      <c r="H11" s="189"/>
      <c r="I11" s="189"/>
      <c r="J11" s="189"/>
      <c r="L11" s="248" t="s">
        <v>180</v>
      </c>
      <c r="M11" s="213"/>
      <c r="N11" s="213"/>
      <c r="O11" s="213"/>
      <c r="P11" s="213"/>
      <c r="Q11" s="213"/>
      <c r="R11" s="213"/>
    </row>
    <row r="12" spans="1:18" x14ac:dyDescent="0.2">
      <c r="A12" s="47"/>
      <c r="B12" s="48"/>
      <c r="C12" s="48"/>
      <c r="D12" s="48"/>
      <c r="F12" s="49">
        <v>1</v>
      </c>
      <c r="G12" s="49">
        <v>2</v>
      </c>
      <c r="H12" s="49">
        <v>3</v>
      </c>
      <c r="I12" s="49">
        <v>4</v>
      </c>
      <c r="J12" s="49">
        <v>5</v>
      </c>
      <c r="K12" s="49"/>
      <c r="L12" s="269"/>
      <c r="M12" s="269"/>
      <c r="N12" s="269"/>
      <c r="O12" s="269"/>
      <c r="P12" s="269"/>
      <c r="Q12" s="269"/>
      <c r="R12" s="269"/>
    </row>
    <row r="13" spans="1:18" x14ac:dyDescent="0.2">
      <c r="A13" s="47"/>
      <c r="B13" s="50"/>
      <c r="C13" s="51">
        <f>+D13-1</f>
        <v>2021</v>
      </c>
      <c r="D13" s="51">
        <f>+E13-1</f>
        <v>2022</v>
      </c>
      <c r="E13" s="52">
        <v>2023</v>
      </c>
      <c r="F13" s="232">
        <f t="shared" ref="F13:J13" si="0">1+E13</f>
        <v>2024</v>
      </c>
      <c r="G13" s="232">
        <f t="shared" si="0"/>
        <v>2025</v>
      </c>
      <c r="H13" s="232">
        <f t="shared" si="0"/>
        <v>2026</v>
      </c>
      <c r="I13" s="232">
        <f t="shared" si="0"/>
        <v>2027</v>
      </c>
      <c r="J13" s="232">
        <f t="shared" si="0"/>
        <v>2028</v>
      </c>
      <c r="K13" s="43"/>
      <c r="L13" s="268"/>
      <c r="M13" s="268"/>
      <c r="N13" s="268"/>
      <c r="O13" s="268"/>
      <c r="P13" s="268"/>
      <c r="Q13" s="268"/>
      <c r="R13" s="268"/>
    </row>
    <row r="14" spans="1:18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3"/>
      <c r="L14" s="268"/>
      <c r="M14" s="268"/>
      <c r="N14" s="268"/>
      <c r="O14" s="268"/>
      <c r="P14" s="268"/>
      <c r="Q14" s="268"/>
      <c r="R14" s="268"/>
    </row>
    <row r="15" spans="1:18" x14ac:dyDescent="0.2">
      <c r="A15" s="47"/>
      <c r="B15" s="184" t="s">
        <v>35</v>
      </c>
      <c r="C15" s="51"/>
      <c r="D15" s="51"/>
      <c r="E15" s="51"/>
      <c r="F15" s="51"/>
      <c r="G15" s="51"/>
      <c r="H15" s="51"/>
      <c r="I15" s="51"/>
      <c r="J15" s="51"/>
      <c r="L15" s="268"/>
      <c r="M15" s="268"/>
      <c r="N15" s="268"/>
      <c r="O15" s="268"/>
      <c r="P15" s="268"/>
      <c r="Q15" s="268"/>
      <c r="R15" s="268"/>
    </row>
    <row r="16" spans="1:18" x14ac:dyDescent="0.2">
      <c r="A16" s="47"/>
      <c r="B16" s="53" t="s">
        <v>7</v>
      </c>
      <c r="C16" s="54">
        <v>198</v>
      </c>
      <c r="D16" s="54">
        <v>902.74</v>
      </c>
      <c r="E16" s="54">
        <v>941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43"/>
      <c r="L16" s="268"/>
      <c r="M16" s="268"/>
      <c r="N16" s="268"/>
      <c r="O16" s="268"/>
      <c r="P16" s="268"/>
      <c r="Q16" s="268"/>
      <c r="R16" s="268"/>
    </row>
    <row r="17" spans="1:18" x14ac:dyDescent="0.2">
      <c r="A17" s="47"/>
      <c r="B17" s="55" t="s">
        <v>8</v>
      </c>
      <c r="C17" s="56">
        <v>198</v>
      </c>
      <c r="D17" s="56">
        <v>0</v>
      </c>
      <c r="E17" s="56">
        <v>0</v>
      </c>
      <c r="F17" s="55">
        <v>1082</v>
      </c>
      <c r="G17" s="55">
        <v>1166</v>
      </c>
      <c r="H17" s="55">
        <v>1222</v>
      </c>
      <c r="I17" s="55">
        <v>1278</v>
      </c>
      <c r="J17" s="55">
        <v>1306</v>
      </c>
      <c r="K17" s="43"/>
      <c r="L17" s="268"/>
      <c r="M17" s="268"/>
      <c r="N17" s="268"/>
      <c r="O17" s="268"/>
      <c r="P17" s="268"/>
      <c r="Q17" s="268"/>
      <c r="R17" s="268"/>
    </row>
    <row r="18" spans="1:18" x14ac:dyDescent="0.2">
      <c r="A18" s="47"/>
      <c r="B18" s="57"/>
      <c r="C18" s="58">
        <f>IF(C16&gt;0,C16-C17,0)</f>
        <v>0</v>
      </c>
      <c r="D18" s="58">
        <f>IF(D16&gt;0,D16-D17,0)</f>
        <v>902.74</v>
      </c>
      <c r="E18" s="58">
        <f t="shared" ref="E18:J18" si="1">IF(E16&gt;0,E16-E17,0)</f>
        <v>941</v>
      </c>
      <c r="F18" s="58">
        <f t="shared" si="1"/>
        <v>0</v>
      </c>
      <c r="G18" s="58">
        <f t="shared" si="1"/>
        <v>0</v>
      </c>
      <c r="H18" s="58">
        <f t="shared" si="1"/>
        <v>0</v>
      </c>
      <c r="I18" s="58">
        <f t="shared" si="1"/>
        <v>0</v>
      </c>
      <c r="J18" s="58">
        <f t="shared" si="1"/>
        <v>0</v>
      </c>
      <c r="K18" s="43"/>
      <c r="L18" s="268"/>
      <c r="M18" s="268"/>
      <c r="N18" s="268"/>
      <c r="O18" s="268"/>
      <c r="P18" s="268"/>
      <c r="Q18" s="268"/>
      <c r="R18" s="268"/>
    </row>
    <row r="19" spans="1:18" x14ac:dyDescent="0.2">
      <c r="A19" s="47"/>
      <c r="B19" s="68"/>
      <c r="C19" s="199"/>
      <c r="D19" s="199"/>
      <c r="E19" s="199"/>
      <c r="F19" s="199"/>
      <c r="G19" s="199"/>
      <c r="H19" s="199"/>
      <c r="I19" s="199"/>
      <c r="J19" s="199"/>
      <c r="K19" s="43"/>
      <c r="L19" s="268"/>
      <c r="M19" s="268"/>
      <c r="N19" s="268"/>
      <c r="O19" s="268"/>
      <c r="P19" s="268"/>
      <c r="Q19" s="268"/>
      <c r="R19" s="268"/>
    </row>
    <row r="20" spans="1:18" x14ac:dyDescent="0.2">
      <c r="A20" s="47"/>
      <c r="B20" s="184" t="s">
        <v>36</v>
      </c>
      <c r="C20" s="51"/>
      <c r="D20" s="51"/>
      <c r="E20" s="51"/>
      <c r="F20" s="51"/>
      <c r="G20" s="51"/>
      <c r="H20" s="51"/>
      <c r="I20" s="51"/>
      <c r="J20" s="51"/>
      <c r="K20" s="43"/>
      <c r="L20" s="268"/>
      <c r="M20" s="268"/>
      <c r="N20" s="268"/>
      <c r="O20" s="268"/>
      <c r="P20" s="268"/>
      <c r="Q20" s="268"/>
      <c r="R20" s="268"/>
    </row>
    <row r="21" spans="1:18" x14ac:dyDescent="0.2">
      <c r="A21" s="47"/>
      <c r="B21" s="59" t="s">
        <v>188</v>
      </c>
      <c r="C21" s="155"/>
      <c r="D21" s="155">
        <v>6830989</v>
      </c>
      <c r="E21" s="155">
        <v>7259654.7144773388</v>
      </c>
      <c r="F21" s="155">
        <v>8399407</v>
      </c>
      <c r="G21" s="155">
        <v>9109796</v>
      </c>
      <c r="H21" s="155">
        <v>9621886</v>
      </c>
      <c r="I21" s="155">
        <v>10143331</v>
      </c>
      <c r="J21" s="155">
        <v>10458322</v>
      </c>
      <c r="K21" s="43"/>
      <c r="L21" s="268"/>
      <c r="M21" s="268"/>
      <c r="N21" s="268"/>
      <c r="O21" s="268"/>
      <c r="P21" s="268"/>
      <c r="Q21" s="268"/>
      <c r="R21" s="268"/>
    </row>
    <row r="22" spans="1:18" x14ac:dyDescent="0.2">
      <c r="A22" s="47"/>
      <c r="B22" s="60" t="s">
        <v>189</v>
      </c>
      <c r="C22" s="156"/>
      <c r="D22" s="156">
        <v>432840</v>
      </c>
      <c r="E22" s="156">
        <v>552482</v>
      </c>
      <c r="F22" s="156">
        <v>265544</v>
      </c>
      <c r="G22" s="156">
        <v>80524</v>
      </c>
      <c r="H22" s="156">
        <v>80524</v>
      </c>
      <c r="I22" s="156">
        <v>80524</v>
      </c>
      <c r="J22" s="156">
        <v>80524</v>
      </c>
      <c r="K22" s="43"/>
      <c r="L22" s="268"/>
      <c r="M22" s="268"/>
      <c r="N22" s="268"/>
      <c r="O22" s="268"/>
      <c r="P22" s="268"/>
      <c r="Q22" s="268"/>
      <c r="R22" s="268"/>
    </row>
    <row r="23" spans="1:18" x14ac:dyDescent="0.2">
      <c r="A23" s="47"/>
      <c r="B23" s="61" t="s">
        <v>190</v>
      </c>
      <c r="C23" s="157"/>
      <c r="D23" s="157">
        <v>478017</v>
      </c>
      <c r="E23" s="157">
        <v>431196</v>
      </c>
      <c r="F23" s="157">
        <v>431196</v>
      </c>
      <c r="G23" s="157">
        <v>431196</v>
      </c>
      <c r="H23" s="157">
        <v>431196</v>
      </c>
      <c r="I23" s="157">
        <v>431196</v>
      </c>
      <c r="J23" s="157">
        <v>431196</v>
      </c>
      <c r="K23" s="43"/>
      <c r="L23" s="268" t="s">
        <v>191</v>
      </c>
      <c r="M23" s="268"/>
      <c r="N23" s="268"/>
      <c r="O23" s="268"/>
      <c r="P23" s="268"/>
      <c r="Q23" s="268"/>
      <c r="R23" s="268"/>
    </row>
    <row r="24" spans="1:18" x14ac:dyDescent="0.2">
      <c r="A24" s="47"/>
      <c r="B24" s="57" t="s">
        <v>11</v>
      </c>
      <c r="C24" s="57">
        <f>SUM(C21:C23)</f>
        <v>0</v>
      </c>
      <c r="D24" s="57">
        <f t="shared" ref="D24:J24" si="2">SUM(D21:D23)</f>
        <v>7741846</v>
      </c>
      <c r="E24" s="57">
        <f t="shared" si="2"/>
        <v>8243332.7144773388</v>
      </c>
      <c r="F24" s="57">
        <f t="shared" si="2"/>
        <v>9096147</v>
      </c>
      <c r="G24" s="57">
        <f t="shared" si="2"/>
        <v>9621516</v>
      </c>
      <c r="H24" s="57">
        <f t="shared" si="2"/>
        <v>10133606</v>
      </c>
      <c r="I24" s="57">
        <f t="shared" si="2"/>
        <v>10655051</v>
      </c>
      <c r="J24" s="57">
        <f t="shared" si="2"/>
        <v>10970042</v>
      </c>
      <c r="K24" s="43"/>
      <c r="L24" s="268"/>
      <c r="M24" s="268"/>
      <c r="N24" s="268"/>
      <c r="O24" s="268"/>
      <c r="P24" s="268"/>
      <c r="Q24" s="268"/>
      <c r="R24" s="268"/>
    </row>
    <row r="25" spans="1:18" x14ac:dyDescent="0.2">
      <c r="A25" s="62"/>
      <c r="B25" s="200" t="s">
        <v>12</v>
      </c>
      <c r="C25" s="201">
        <f>IF(C$16&gt;0,C24/C$16,C24/C$17)</f>
        <v>0</v>
      </c>
      <c r="D25" s="201">
        <f t="shared" ref="D25:E25" si="3">IF(D$16&gt;0,D24/D$16,D24/D$17)</f>
        <v>8575.9421317322813</v>
      </c>
      <c r="E25" s="201">
        <f t="shared" si="3"/>
        <v>8760.1835435465873</v>
      </c>
      <c r="F25" s="201">
        <f>IF(F$16&gt;0,F24/F$16,F24/F$17)</f>
        <v>8406.7902033271712</v>
      </c>
      <c r="G25" s="201">
        <f t="shared" ref="G25:J25" si="4">IF(G$16&gt;0,G24/G$16,G24/G$17)</f>
        <v>8251.7289879931395</v>
      </c>
      <c r="H25" s="201">
        <f t="shared" si="4"/>
        <v>8292.6399345335522</v>
      </c>
      <c r="I25" s="201">
        <f t="shared" si="4"/>
        <v>8337.2856025039127</v>
      </c>
      <c r="J25" s="201">
        <f t="shared" si="4"/>
        <v>8399.7258805513011</v>
      </c>
      <c r="K25" s="43"/>
      <c r="L25" s="268"/>
      <c r="M25" s="268"/>
      <c r="N25" s="268"/>
      <c r="O25" s="268"/>
      <c r="P25" s="268"/>
      <c r="Q25" s="268"/>
      <c r="R25" s="268"/>
    </row>
    <row r="26" spans="1:18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3"/>
      <c r="L26" s="268"/>
      <c r="M26" s="268"/>
      <c r="N26" s="268"/>
      <c r="O26" s="268"/>
      <c r="P26" s="268"/>
      <c r="Q26" s="268"/>
      <c r="R26" s="268"/>
    </row>
    <row r="27" spans="1:18" x14ac:dyDescent="0.2">
      <c r="A27" s="47"/>
      <c r="B27" s="184" t="s">
        <v>37</v>
      </c>
      <c r="C27" s="51"/>
      <c r="D27" s="51"/>
      <c r="E27" s="51"/>
      <c r="F27" s="51"/>
      <c r="G27" s="51"/>
      <c r="H27" s="51"/>
      <c r="I27" s="51"/>
      <c r="J27" s="51"/>
      <c r="K27" s="43"/>
      <c r="L27" s="268"/>
      <c r="M27" s="268"/>
      <c r="N27" s="268"/>
      <c r="O27" s="268"/>
      <c r="P27" s="268"/>
      <c r="Q27" s="268"/>
      <c r="R27" s="268"/>
    </row>
    <row r="28" spans="1:18" x14ac:dyDescent="0.2">
      <c r="A28" s="47"/>
      <c r="B28" s="64" t="s">
        <v>192</v>
      </c>
      <c r="C28" s="158">
        <f>General!C27</f>
        <v>383599.39500000002</v>
      </c>
      <c r="D28" s="158">
        <v>257581</v>
      </c>
      <c r="E28" s="159">
        <v>254751</v>
      </c>
      <c r="F28" s="159">
        <v>259846.02</v>
      </c>
      <c r="G28" s="159">
        <v>271463.95922815957</v>
      </c>
      <c r="H28" s="159">
        <v>276893.26</v>
      </c>
      <c r="I28" s="159">
        <v>282431.15999999997</v>
      </c>
      <c r="J28" s="159">
        <v>288079.78999999998</v>
      </c>
      <c r="K28" s="43"/>
      <c r="L28" s="268"/>
      <c r="M28" s="268"/>
      <c r="N28" s="268"/>
      <c r="O28" s="268"/>
      <c r="P28" s="268"/>
      <c r="Q28" s="268"/>
      <c r="R28" s="268"/>
    </row>
    <row r="29" spans="1:18" x14ac:dyDescent="0.2">
      <c r="A29" s="47"/>
      <c r="B29" s="65" t="s">
        <v>193</v>
      </c>
      <c r="C29" s="191">
        <f>General!C28</f>
        <v>170441.01</v>
      </c>
      <c r="D29" s="191">
        <v>142645</v>
      </c>
      <c r="E29" s="191">
        <v>176828.65000000002</v>
      </c>
      <c r="F29" s="191">
        <v>127247.03999999999</v>
      </c>
      <c r="G29" s="191">
        <v>134265.78541977651</v>
      </c>
      <c r="H29" s="191">
        <v>136951.10999999996</v>
      </c>
      <c r="I29" s="191">
        <v>139690.16999999998</v>
      </c>
      <c r="J29" s="191">
        <v>142483.96999999997</v>
      </c>
      <c r="K29" s="43"/>
      <c r="L29" s="268"/>
      <c r="M29" s="268"/>
      <c r="N29" s="268"/>
      <c r="O29" s="268"/>
      <c r="P29" s="268"/>
      <c r="Q29" s="268"/>
      <c r="R29" s="268"/>
    </row>
    <row r="30" spans="1:18" x14ac:dyDescent="0.2">
      <c r="A30" s="47"/>
      <c r="B30" s="64" t="s">
        <v>194</v>
      </c>
      <c r="C30" s="251"/>
      <c r="D30" s="251">
        <v>0</v>
      </c>
      <c r="E30" s="251">
        <v>0</v>
      </c>
      <c r="F30" s="251">
        <v>0</v>
      </c>
      <c r="G30" s="251">
        <v>6421.0192281595746</v>
      </c>
      <c r="H30" s="251">
        <v>6549.4400000000005</v>
      </c>
      <c r="I30" s="251">
        <v>6680.4400000000005</v>
      </c>
      <c r="J30" s="251">
        <v>6814.0399999999991</v>
      </c>
      <c r="K30" s="43"/>
      <c r="L30" s="250"/>
      <c r="M30" s="250"/>
      <c r="N30" s="250"/>
      <c r="O30" s="250"/>
      <c r="P30" s="250"/>
      <c r="Q30" s="250"/>
      <c r="R30" s="250"/>
    </row>
    <row r="31" spans="1:18" x14ac:dyDescent="0.2">
      <c r="A31" s="47"/>
      <c r="B31" s="65" t="s">
        <v>195</v>
      </c>
      <c r="C31" s="251"/>
      <c r="D31" s="251"/>
      <c r="E31" s="251">
        <v>0</v>
      </c>
      <c r="F31" s="251">
        <v>0</v>
      </c>
      <c r="G31" s="251">
        <v>4473.8054197765059</v>
      </c>
      <c r="H31" s="251">
        <v>4563.28</v>
      </c>
      <c r="I31" s="251">
        <v>4654.5600000000013</v>
      </c>
      <c r="J31" s="251">
        <v>4747.6499999999996</v>
      </c>
      <c r="K31" s="43"/>
      <c r="L31" s="250"/>
      <c r="M31" s="250"/>
      <c r="N31" s="250"/>
      <c r="O31" s="250"/>
      <c r="P31" s="250"/>
      <c r="Q31" s="250"/>
      <c r="R31" s="250"/>
    </row>
    <row r="32" spans="1:18" x14ac:dyDescent="0.2">
      <c r="A32" s="47"/>
      <c r="B32" s="66" t="s">
        <v>38</v>
      </c>
      <c r="C32" s="192">
        <f>General!C29</f>
        <v>539545.45500000007</v>
      </c>
      <c r="D32" s="192"/>
      <c r="E32" s="192"/>
      <c r="F32" s="192"/>
      <c r="G32" s="192"/>
      <c r="H32" s="192"/>
      <c r="I32" s="192"/>
      <c r="J32" s="192"/>
      <c r="K32" s="43"/>
      <c r="L32" s="268"/>
      <c r="M32" s="268"/>
      <c r="N32" s="268"/>
      <c r="O32" s="268"/>
      <c r="P32" s="268"/>
      <c r="Q32" s="268"/>
      <c r="R32" s="268"/>
    </row>
    <row r="33" spans="1:18" x14ac:dyDescent="0.2">
      <c r="A33" s="47"/>
      <c r="B33" s="48" t="s">
        <v>17</v>
      </c>
      <c r="C33" s="75">
        <f>SUM(C28:C32)</f>
        <v>1093585.8600000001</v>
      </c>
      <c r="D33" s="75">
        <f>SUM(D28:D32)</f>
        <v>400226</v>
      </c>
      <c r="E33" s="75">
        <f t="shared" ref="E33:J33" si="5">SUM(E28:E32)</f>
        <v>431579.65</v>
      </c>
      <c r="F33" s="75">
        <f t="shared" si="5"/>
        <v>387093.06</v>
      </c>
      <c r="G33" s="75">
        <f t="shared" si="5"/>
        <v>416624.56929587218</v>
      </c>
      <c r="H33" s="75">
        <f t="shared" si="5"/>
        <v>424957.09</v>
      </c>
      <c r="I33" s="75">
        <f t="shared" si="5"/>
        <v>433456.32999999996</v>
      </c>
      <c r="J33" s="75">
        <f t="shared" si="5"/>
        <v>442125.44999999995</v>
      </c>
      <c r="K33" s="43"/>
      <c r="L33" s="268"/>
      <c r="M33" s="268"/>
      <c r="N33" s="268"/>
      <c r="O33" s="268"/>
      <c r="P33" s="268"/>
      <c r="Q33" s="268"/>
      <c r="R33" s="268"/>
    </row>
    <row r="34" spans="1:18" x14ac:dyDescent="0.2">
      <c r="A34" s="47"/>
      <c r="B34" s="200" t="s">
        <v>18</v>
      </c>
      <c r="C34" s="201">
        <f t="shared" ref="C34:E34" si="6">IF(C$16&gt;0,C33/C$16,C33/C$17)</f>
        <v>5523.1609090909096</v>
      </c>
      <c r="D34" s="201">
        <f t="shared" si="6"/>
        <v>443.34581385559517</v>
      </c>
      <c r="E34" s="201">
        <f t="shared" si="6"/>
        <v>458.63937300743891</v>
      </c>
      <c r="F34" s="201">
        <f>IF(F$16&gt;0,F33/F$16,F33/F$17)</f>
        <v>357.75698706099814</v>
      </c>
      <c r="G34" s="201">
        <f t="shared" ref="G34:J34" si="7">IF(G$16&gt;0,G33/G$16,G33/G$17)</f>
        <v>357.31095136867253</v>
      </c>
      <c r="H34" s="201">
        <f t="shared" si="7"/>
        <v>347.75539279869071</v>
      </c>
      <c r="I34" s="201">
        <f t="shared" si="7"/>
        <v>339.16770735524256</v>
      </c>
      <c r="J34" s="201">
        <f t="shared" si="7"/>
        <v>338.53403522205201</v>
      </c>
      <c r="K34" s="43"/>
      <c r="L34" s="268"/>
      <c r="M34" s="268"/>
      <c r="N34" s="268"/>
      <c r="O34" s="268"/>
      <c r="P34" s="268"/>
      <c r="Q34" s="268"/>
      <c r="R34" s="268"/>
    </row>
    <row r="35" spans="1:18" x14ac:dyDescent="0.2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3"/>
      <c r="L35" s="268"/>
      <c r="M35" s="268"/>
      <c r="N35" s="268"/>
      <c r="O35" s="268"/>
      <c r="P35" s="268"/>
      <c r="Q35" s="268"/>
      <c r="R35" s="268"/>
    </row>
    <row r="36" spans="1:18" ht="13.5" thickBot="1" x14ac:dyDescent="0.25">
      <c r="A36" s="47"/>
      <c r="B36" s="196" t="s">
        <v>19</v>
      </c>
      <c r="C36" s="69">
        <f t="shared" ref="C36:J36" si="8">SUM(C21:C23)-C33</f>
        <v>-1093585.8600000001</v>
      </c>
      <c r="D36" s="69">
        <f t="shared" si="8"/>
        <v>7341620</v>
      </c>
      <c r="E36" s="69">
        <f t="shared" si="8"/>
        <v>7811753.0644773385</v>
      </c>
      <c r="F36" s="69">
        <f t="shared" si="8"/>
        <v>8709053.9399999995</v>
      </c>
      <c r="G36" s="69">
        <f t="shared" si="8"/>
        <v>9204891.430704128</v>
      </c>
      <c r="H36" s="69">
        <f t="shared" si="8"/>
        <v>9708648.9100000001</v>
      </c>
      <c r="I36" s="69">
        <f t="shared" si="8"/>
        <v>10221594.67</v>
      </c>
      <c r="J36" s="69">
        <f t="shared" si="8"/>
        <v>10527916.550000001</v>
      </c>
      <c r="K36" s="43"/>
      <c r="L36" s="268"/>
      <c r="M36" s="268"/>
      <c r="N36" s="268"/>
      <c r="O36" s="268"/>
      <c r="P36" s="268"/>
      <c r="Q36" s="268"/>
      <c r="R36" s="268"/>
    </row>
    <row r="37" spans="1:18" ht="13.5" thickTop="1" x14ac:dyDescent="0.2">
      <c r="A37" s="47"/>
      <c r="B37" s="70" t="s">
        <v>20</v>
      </c>
      <c r="C37" s="48"/>
      <c r="D37" s="48"/>
      <c r="E37" s="48"/>
      <c r="F37" s="85">
        <f>+F36+E37</f>
        <v>8709053.9399999995</v>
      </c>
      <c r="G37" s="239">
        <f t="shared" ref="G37:J37" si="9">+G36+F37</f>
        <v>17913945.370704129</v>
      </c>
      <c r="H37" s="85">
        <f t="shared" si="9"/>
        <v>27622594.280704129</v>
      </c>
      <c r="I37" s="85">
        <f t="shared" si="9"/>
        <v>37844188.950704128</v>
      </c>
      <c r="J37" s="85">
        <f t="shared" si="9"/>
        <v>48372105.500704125</v>
      </c>
      <c r="K37" s="43"/>
      <c r="L37" s="268"/>
      <c r="M37" s="268"/>
      <c r="N37" s="268"/>
      <c r="O37" s="268"/>
      <c r="P37" s="268"/>
      <c r="Q37" s="268"/>
      <c r="R37" s="268"/>
    </row>
    <row r="38" spans="1:18" x14ac:dyDescent="0.2">
      <c r="A38" s="47"/>
      <c r="B38" s="70"/>
      <c r="C38" s="48"/>
      <c r="D38" s="48"/>
      <c r="E38" s="48"/>
      <c r="F38" s="48"/>
      <c r="G38" s="48"/>
      <c r="H38" s="48"/>
      <c r="I38" s="48"/>
      <c r="J38" s="48"/>
      <c r="K38" s="43"/>
      <c r="L38" s="268"/>
      <c r="M38" s="268"/>
      <c r="N38" s="268"/>
      <c r="O38" s="268"/>
      <c r="P38" s="268"/>
      <c r="Q38" s="268"/>
      <c r="R38" s="268"/>
    </row>
    <row r="39" spans="1:18" ht="15.75" x14ac:dyDescent="0.25">
      <c r="A39" s="47"/>
      <c r="B39" s="172" t="s">
        <v>39</v>
      </c>
      <c r="C39" s="48"/>
      <c r="D39" s="48"/>
      <c r="E39" s="48"/>
      <c r="F39" s="244" t="s">
        <v>40</v>
      </c>
      <c r="G39" s="48"/>
      <c r="H39" s="48"/>
      <c r="I39" s="48"/>
      <c r="J39" s="48"/>
      <c r="K39" s="43"/>
      <c r="L39" s="268"/>
      <c r="M39" s="268"/>
      <c r="N39" s="268"/>
      <c r="O39" s="268"/>
      <c r="P39" s="268"/>
      <c r="Q39" s="268"/>
      <c r="R39" s="268"/>
    </row>
    <row r="40" spans="1:18" x14ac:dyDescent="0.2">
      <c r="A40" s="47"/>
      <c r="B40" s="48"/>
      <c r="C40" s="71"/>
      <c r="D40" s="71"/>
      <c r="E40" s="71"/>
      <c r="F40" s="202" t="s">
        <v>41</v>
      </c>
      <c r="G40" s="203">
        <v>2</v>
      </c>
      <c r="H40" s="203">
        <v>3</v>
      </c>
      <c r="I40" s="203">
        <v>4</v>
      </c>
      <c r="J40" s="203">
        <v>5</v>
      </c>
      <c r="K40" s="43"/>
      <c r="L40" s="268"/>
      <c r="M40" s="268"/>
      <c r="N40" s="268"/>
      <c r="O40" s="268"/>
      <c r="P40" s="268"/>
      <c r="Q40" s="268"/>
      <c r="R40" s="268"/>
    </row>
    <row r="41" spans="1:18" x14ac:dyDescent="0.2">
      <c r="A41" s="47"/>
      <c r="B41" s="184" t="s">
        <v>42</v>
      </c>
      <c r="C41" s="51">
        <f>+D41-1</f>
        <v>2021</v>
      </c>
      <c r="D41" s="51">
        <f>+E41-1</f>
        <v>2022</v>
      </c>
      <c r="E41" s="51">
        <f>+F41-1</f>
        <v>2023</v>
      </c>
      <c r="F41" s="73">
        <f>+F13</f>
        <v>2024</v>
      </c>
      <c r="G41" s="51">
        <f t="shared" ref="G41" si="10">1+F41</f>
        <v>2025</v>
      </c>
      <c r="H41" s="51">
        <f t="shared" ref="H41" si="11">1+G41</f>
        <v>2026</v>
      </c>
      <c r="I41" s="51">
        <f t="shared" ref="I41" si="12">1+H41</f>
        <v>2027</v>
      </c>
      <c r="J41" s="51">
        <f t="shared" ref="J41" si="13">1+I41</f>
        <v>2028</v>
      </c>
      <c r="K41" s="43"/>
      <c r="L41" s="268"/>
      <c r="M41" s="268"/>
      <c r="N41" s="268"/>
      <c r="O41" s="268"/>
      <c r="P41" s="268"/>
      <c r="Q41" s="268"/>
      <c r="R41" s="268"/>
    </row>
    <row r="42" spans="1:18" x14ac:dyDescent="0.2">
      <c r="A42" s="47"/>
      <c r="B42" s="74" t="s">
        <v>196</v>
      </c>
      <c r="C42" s="176">
        <v>11000</v>
      </c>
      <c r="D42" s="176">
        <f>56107+11430</f>
        <v>67537</v>
      </c>
      <c r="E42" s="176">
        <f>+D42</f>
        <v>67537</v>
      </c>
      <c r="F42" s="176">
        <f t="shared" ref="F42:J42" si="14">+E42</f>
        <v>67537</v>
      </c>
      <c r="G42" s="176">
        <f t="shared" si="14"/>
        <v>67537</v>
      </c>
      <c r="H42" s="176">
        <f t="shared" si="14"/>
        <v>67537</v>
      </c>
      <c r="I42" s="176">
        <f t="shared" si="14"/>
        <v>67537</v>
      </c>
      <c r="J42" s="176">
        <f t="shared" si="14"/>
        <v>67537</v>
      </c>
      <c r="K42" s="43"/>
      <c r="L42" s="268"/>
      <c r="M42" s="268"/>
      <c r="N42" s="268"/>
      <c r="O42" s="268"/>
      <c r="P42" s="268"/>
      <c r="Q42" s="268"/>
      <c r="R42" s="268"/>
    </row>
    <row r="43" spans="1:18" x14ac:dyDescent="0.2">
      <c r="A43" s="47"/>
      <c r="B43" s="65" t="s">
        <v>43</v>
      </c>
      <c r="C43" s="177"/>
      <c r="D43" s="177"/>
      <c r="E43" s="177"/>
      <c r="F43" s="177">
        <v>25000</v>
      </c>
      <c r="G43" s="177">
        <f>+F43</f>
        <v>25000</v>
      </c>
      <c r="H43" s="177">
        <f>+G43</f>
        <v>25000</v>
      </c>
      <c r="I43" s="177">
        <f>+H43</f>
        <v>25000</v>
      </c>
      <c r="J43" s="177">
        <f>+I43</f>
        <v>25000</v>
      </c>
      <c r="K43" s="43"/>
      <c r="L43" s="268"/>
      <c r="M43" s="268"/>
      <c r="N43" s="268"/>
      <c r="O43" s="268"/>
      <c r="P43" s="268"/>
      <c r="Q43" s="268"/>
      <c r="R43" s="268"/>
    </row>
    <row r="44" spans="1:18" x14ac:dyDescent="0.2">
      <c r="A44" s="47"/>
      <c r="B44" s="66"/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43"/>
      <c r="L44" s="268"/>
      <c r="M44" s="268"/>
      <c r="N44" s="268"/>
      <c r="O44" s="268"/>
      <c r="P44" s="268"/>
      <c r="Q44" s="268"/>
      <c r="R44" s="268"/>
    </row>
    <row r="45" spans="1:18" x14ac:dyDescent="0.2">
      <c r="A45" s="47"/>
      <c r="B45" s="48" t="s">
        <v>44</v>
      </c>
      <c r="C45" s="75"/>
      <c r="D45" s="75"/>
      <c r="E45" s="75"/>
      <c r="F45" s="68">
        <f>+F43+F42-F42</f>
        <v>25000</v>
      </c>
      <c r="G45" s="68">
        <f t="shared" ref="G45:J45" si="15">+G43+G42-G42</f>
        <v>25000</v>
      </c>
      <c r="H45" s="68">
        <f t="shared" si="15"/>
        <v>25000</v>
      </c>
      <c r="I45" s="68">
        <f t="shared" si="15"/>
        <v>25000</v>
      </c>
      <c r="J45" s="68">
        <f t="shared" si="15"/>
        <v>25000</v>
      </c>
      <c r="K45" s="43"/>
      <c r="L45" s="268" t="s">
        <v>201</v>
      </c>
      <c r="M45" s="268"/>
      <c r="N45" s="268"/>
      <c r="O45" s="268"/>
      <c r="P45" s="268"/>
      <c r="Q45" s="268"/>
      <c r="R45" s="268"/>
    </row>
    <row r="46" spans="1:18" x14ac:dyDescent="0.2">
      <c r="A46" s="47"/>
      <c r="B46" s="48" t="s">
        <v>45</v>
      </c>
      <c r="C46" s="75"/>
      <c r="D46" s="75"/>
      <c r="E46" s="75"/>
      <c r="F46" s="240">
        <f>+F43/F42</f>
        <v>0.37016746376060528</v>
      </c>
      <c r="G46" s="240">
        <f t="shared" ref="G46:J46" si="16">+G43/G42</f>
        <v>0.37016746376060528</v>
      </c>
      <c r="H46" s="240">
        <f t="shared" si="16"/>
        <v>0.37016746376060528</v>
      </c>
      <c r="I46" s="240">
        <f t="shared" si="16"/>
        <v>0.37016746376060528</v>
      </c>
      <c r="J46" s="240">
        <f t="shared" si="16"/>
        <v>0.37016746376060528</v>
      </c>
      <c r="K46" s="43"/>
      <c r="L46" s="268"/>
      <c r="M46" s="268"/>
      <c r="N46" s="268"/>
      <c r="O46" s="268"/>
      <c r="P46" s="268"/>
      <c r="Q46" s="268"/>
      <c r="R46" s="268"/>
    </row>
    <row r="47" spans="1:18" ht="12.75" customHeight="1" x14ac:dyDescent="0.25">
      <c r="A47" s="47"/>
      <c r="B47" s="172"/>
      <c r="C47" s="71"/>
      <c r="D47" s="71"/>
      <c r="E47" s="71"/>
      <c r="F47" s="72" t="s">
        <v>46</v>
      </c>
      <c r="G47" s="49">
        <v>2</v>
      </c>
      <c r="H47" s="49">
        <v>3</v>
      </c>
      <c r="I47" s="49">
        <v>4</v>
      </c>
      <c r="J47" s="49">
        <v>5</v>
      </c>
      <c r="K47" s="43"/>
      <c r="L47" s="268"/>
      <c r="M47" s="268"/>
      <c r="N47" s="268"/>
      <c r="O47" s="268"/>
      <c r="P47" s="268"/>
      <c r="Q47" s="268"/>
      <c r="R47" s="268"/>
    </row>
    <row r="48" spans="1:18" x14ac:dyDescent="0.2">
      <c r="A48" s="47"/>
      <c r="B48" s="184" t="s">
        <v>47</v>
      </c>
      <c r="C48" s="51">
        <f>+D48-1</f>
        <v>2021</v>
      </c>
      <c r="D48" s="51">
        <f>+E48-1</f>
        <v>2022</v>
      </c>
      <c r="E48" s="51">
        <f>+F48-1</f>
        <v>2023</v>
      </c>
      <c r="F48" s="73">
        <f>+F$13</f>
        <v>2024</v>
      </c>
      <c r="G48" s="51">
        <f t="shared" ref="G48:I48" si="17">1+F48</f>
        <v>2025</v>
      </c>
      <c r="H48" s="51">
        <f t="shared" si="17"/>
        <v>2026</v>
      </c>
      <c r="I48" s="51">
        <f t="shared" si="17"/>
        <v>2027</v>
      </c>
      <c r="J48" s="51">
        <f>1+I48</f>
        <v>2028</v>
      </c>
      <c r="K48" s="43"/>
      <c r="L48" s="268"/>
      <c r="M48" s="268"/>
      <c r="N48" s="268"/>
      <c r="O48" s="268"/>
      <c r="P48" s="268"/>
      <c r="Q48" s="268"/>
      <c r="R48" s="268"/>
    </row>
    <row r="49" spans="1:20" x14ac:dyDescent="0.2">
      <c r="A49" s="47"/>
      <c r="B49" s="173" t="str">
        <f>+B42</f>
        <v>Current facility BOND</v>
      </c>
      <c r="C49" s="178">
        <v>123827</v>
      </c>
      <c r="D49" s="178">
        <v>200000</v>
      </c>
      <c r="E49" s="178">
        <v>1085502.44</v>
      </c>
      <c r="F49" s="178">
        <v>1170663.42</v>
      </c>
      <c r="G49" s="178">
        <v>1143437.82</v>
      </c>
      <c r="H49" s="178">
        <v>1133810.52</v>
      </c>
      <c r="I49" s="178">
        <v>1132780.94</v>
      </c>
      <c r="J49" s="178">
        <v>1136349.6200000001</v>
      </c>
      <c r="K49" s="43"/>
      <c r="L49" s="268"/>
      <c r="M49" s="268"/>
      <c r="N49" s="268"/>
      <c r="O49" s="268"/>
      <c r="P49" s="268"/>
      <c r="Q49" s="268"/>
      <c r="R49" s="268"/>
    </row>
    <row r="50" spans="1:20" x14ac:dyDescent="0.2">
      <c r="A50" s="47"/>
      <c r="B50" s="174" t="str">
        <f>+B43</f>
        <v>Proposed facility to acquire</v>
      </c>
      <c r="C50" s="179">
        <v>0</v>
      </c>
      <c r="D50" s="179">
        <v>0</v>
      </c>
      <c r="E50" s="179">
        <v>0</v>
      </c>
      <c r="F50" s="179">
        <v>0</v>
      </c>
      <c r="G50" s="252">
        <v>540000</v>
      </c>
      <c r="H50" s="252">
        <v>540000</v>
      </c>
      <c r="I50" s="252">
        <v>540000</v>
      </c>
      <c r="J50" s="252">
        <v>540000</v>
      </c>
      <c r="K50" s="43"/>
      <c r="L50" s="268"/>
      <c r="M50" s="268"/>
      <c r="N50" s="268"/>
      <c r="O50" s="268"/>
      <c r="P50" s="268"/>
      <c r="Q50" s="268"/>
      <c r="R50" s="268"/>
    </row>
    <row r="51" spans="1:20" x14ac:dyDescent="0.2">
      <c r="A51" s="47"/>
      <c r="B51" s="175"/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43"/>
      <c r="L51" s="268"/>
      <c r="M51" s="268"/>
      <c r="N51" s="268"/>
      <c r="O51" s="268"/>
      <c r="P51" s="268"/>
      <c r="Q51" s="268"/>
      <c r="R51" s="268"/>
    </row>
    <row r="52" spans="1:20" x14ac:dyDescent="0.2">
      <c r="A52" s="47"/>
      <c r="B52" s="70" t="s">
        <v>48</v>
      </c>
      <c r="C52" s="168">
        <f>IF(C50&gt;0,C49-C50,0)</f>
        <v>0</v>
      </c>
      <c r="D52" s="168">
        <f t="shared" ref="D52:J52" si="18">IF(D50&gt;0,D49-D50,0)</f>
        <v>0</v>
      </c>
      <c r="E52" s="168">
        <f t="shared" si="18"/>
        <v>0</v>
      </c>
      <c r="F52" s="168">
        <f>IF(F50&gt;0,F49-F50,0)</f>
        <v>0</v>
      </c>
      <c r="G52" s="168">
        <f>IF(G50&gt;0,G49-G50,0)</f>
        <v>603437.82000000007</v>
      </c>
      <c r="H52" s="168">
        <f t="shared" si="18"/>
        <v>593810.52</v>
      </c>
      <c r="I52" s="168">
        <f t="shared" si="18"/>
        <v>592780.93999999994</v>
      </c>
      <c r="J52" s="168">
        <f t="shared" si="18"/>
        <v>596349.62000000011</v>
      </c>
      <c r="K52" s="43"/>
      <c r="L52" s="268" t="s">
        <v>202</v>
      </c>
      <c r="M52" s="268"/>
      <c r="N52" s="268"/>
      <c r="O52" s="268"/>
      <c r="P52" s="268"/>
      <c r="Q52" s="268"/>
      <c r="R52" s="268"/>
    </row>
    <row r="53" spans="1:20" x14ac:dyDescent="0.2">
      <c r="A53" s="47"/>
      <c r="B53" s="70" t="s">
        <v>49</v>
      </c>
      <c r="C53" s="168"/>
      <c r="D53" s="168"/>
      <c r="E53" s="168"/>
      <c r="F53" s="168">
        <f>+E53+F52</f>
        <v>0</v>
      </c>
      <c r="G53" s="168">
        <f t="shared" ref="G53:J53" si="19">+F53+G52</f>
        <v>603437.82000000007</v>
      </c>
      <c r="H53" s="168">
        <f t="shared" si="19"/>
        <v>1197248.3400000001</v>
      </c>
      <c r="I53" s="168">
        <f t="shared" si="19"/>
        <v>1790029.28</v>
      </c>
      <c r="J53" s="168">
        <f t="shared" si="19"/>
        <v>2386378.9000000004</v>
      </c>
      <c r="K53" s="43"/>
      <c r="L53" s="268" t="s">
        <v>202</v>
      </c>
      <c r="M53" s="268"/>
      <c r="N53" s="268"/>
      <c r="O53" s="268"/>
      <c r="P53" s="268"/>
      <c r="Q53" s="268"/>
      <c r="R53" s="268"/>
    </row>
    <row r="54" spans="1:20" x14ac:dyDescent="0.2">
      <c r="A54" s="47"/>
      <c r="B54" s="241" t="s">
        <v>50</v>
      </c>
      <c r="C54" s="75"/>
      <c r="D54" s="75"/>
      <c r="E54" s="75"/>
      <c r="F54" s="75"/>
      <c r="G54" s="75"/>
      <c r="H54" s="75"/>
      <c r="I54" s="75"/>
      <c r="J54" s="75"/>
      <c r="K54" s="43"/>
      <c r="L54" s="268"/>
      <c r="M54" s="268"/>
      <c r="N54" s="268"/>
      <c r="O54" s="268"/>
      <c r="P54" s="268"/>
      <c r="Q54" s="268"/>
      <c r="R54" s="268"/>
    </row>
    <row r="55" spans="1:20" ht="15.75" x14ac:dyDescent="0.25">
      <c r="A55" s="47"/>
      <c r="B55" s="172"/>
      <c r="C55" s="71"/>
      <c r="D55" s="71"/>
      <c r="E55" s="71"/>
      <c r="F55" s="72" t="s">
        <v>46</v>
      </c>
      <c r="G55" s="49">
        <v>2</v>
      </c>
      <c r="H55" s="49">
        <v>3</v>
      </c>
      <c r="I55" s="49">
        <v>4</v>
      </c>
      <c r="J55" s="49">
        <v>5</v>
      </c>
      <c r="K55" s="43"/>
      <c r="L55" s="268"/>
      <c r="M55" s="268"/>
      <c r="N55" s="268"/>
      <c r="O55" s="268"/>
      <c r="P55" s="268"/>
      <c r="Q55" s="268"/>
      <c r="R55" s="268"/>
    </row>
    <row r="56" spans="1:20" x14ac:dyDescent="0.2">
      <c r="A56" s="47"/>
      <c r="B56" s="184" t="s">
        <v>51</v>
      </c>
      <c r="C56" s="51">
        <f>+D56-1</f>
        <v>2021</v>
      </c>
      <c r="D56" s="51">
        <f>+E56-1</f>
        <v>2022</v>
      </c>
      <c r="E56" s="51">
        <f>+F56-1</f>
        <v>2023</v>
      </c>
      <c r="F56" s="73">
        <f>+F$13</f>
        <v>2024</v>
      </c>
      <c r="G56" s="51">
        <f t="shared" ref="G56" si="20">1+F56</f>
        <v>2025</v>
      </c>
      <c r="H56" s="51">
        <f t="shared" ref="H56" si="21">1+G56</f>
        <v>2026</v>
      </c>
      <c r="I56" s="51">
        <f t="shared" ref="I56" si="22">1+H56</f>
        <v>2027</v>
      </c>
      <c r="J56" s="51">
        <f t="shared" ref="J56" si="23">1+I56</f>
        <v>2028</v>
      </c>
      <c r="K56" s="43"/>
      <c r="L56" s="268"/>
      <c r="M56" s="268"/>
      <c r="N56" s="268"/>
      <c r="O56" s="268"/>
      <c r="P56" s="268"/>
      <c r="Q56" s="268"/>
      <c r="R56" s="268"/>
    </row>
    <row r="57" spans="1:20" x14ac:dyDescent="0.2">
      <c r="A57" s="47"/>
      <c r="B57" s="173" t="str">
        <f>+B49</f>
        <v>Current facility BOND</v>
      </c>
      <c r="C57" s="178">
        <f>24+35269+1375+3163+5920</f>
        <v>45751</v>
      </c>
      <c r="D57" s="178">
        <v>257581</v>
      </c>
      <c r="E57" s="178">
        <v>254751</v>
      </c>
      <c r="F57" s="178">
        <v>259846.02</v>
      </c>
      <c r="G57" s="178">
        <v>271463.95922815957</v>
      </c>
      <c r="H57" s="178">
        <v>276893.26</v>
      </c>
      <c r="I57" s="178">
        <v>282431.15999999997</v>
      </c>
      <c r="J57" s="178">
        <v>288079.78999999998</v>
      </c>
      <c r="K57" s="43"/>
      <c r="L57" s="268"/>
      <c r="M57" s="268"/>
      <c r="N57" s="268"/>
      <c r="O57" s="268"/>
      <c r="P57" s="268"/>
      <c r="Q57" s="268"/>
      <c r="R57" s="268"/>
      <c r="S57" s="245"/>
      <c r="T57" s="245"/>
    </row>
    <row r="58" spans="1:20" x14ac:dyDescent="0.2">
      <c r="A58" s="47"/>
      <c r="B58" s="174" t="str">
        <f>+B50</f>
        <v>Proposed facility to acquire</v>
      </c>
      <c r="C58" s="179">
        <v>0</v>
      </c>
      <c r="D58" s="179">
        <v>0</v>
      </c>
      <c r="E58" s="179">
        <v>0</v>
      </c>
      <c r="F58" s="180">
        <v>0</v>
      </c>
      <c r="G58" s="180">
        <v>6421.0192281595746</v>
      </c>
      <c r="H58" s="180">
        <v>6549.4400000000005</v>
      </c>
      <c r="I58" s="180">
        <v>6680.4400000000005</v>
      </c>
      <c r="J58" s="180">
        <v>6814.0399999999991</v>
      </c>
      <c r="K58" s="43"/>
      <c r="L58" s="268"/>
      <c r="M58" s="268"/>
      <c r="N58" s="268"/>
      <c r="O58" s="268"/>
      <c r="P58" s="268"/>
      <c r="Q58" s="268"/>
      <c r="R58" s="268"/>
      <c r="S58" s="245"/>
      <c r="T58" s="245"/>
    </row>
    <row r="59" spans="1:20" x14ac:dyDescent="0.2">
      <c r="A59" s="47"/>
      <c r="B59" s="175" t="s">
        <v>52</v>
      </c>
      <c r="C59" s="181">
        <v>0</v>
      </c>
      <c r="D59" s="181">
        <v>0</v>
      </c>
      <c r="E59" s="181">
        <v>0</v>
      </c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43"/>
      <c r="L59" s="268"/>
      <c r="M59" s="268"/>
      <c r="N59" s="268"/>
      <c r="O59" s="268"/>
      <c r="P59" s="268"/>
      <c r="Q59" s="268"/>
      <c r="R59" s="268"/>
      <c r="S59" s="245"/>
      <c r="T59" s="245"/>
    </row>
    <row r="60" spans="1:20" x14ac:dyDescent="0.2">
      <c r="A60" s="47"/>
      <c r="B60" s="70" t="s">
        <v>53</v>
      </c>
      <c r="C60" s="168">
        <f t="shared" ref="C60:J60" si="24">IF(C58&gt;0,C57-(C58+C59),0)</f>
        <v>0</v>
      </c>
      <c r="D60" s="168">
        <f t="shared" si="24"/>
        <v>0</v>
      </c>
      <c r="E60" s="168">
        <f t="shared" si="24"/>
        <v>0</v>
      </c>
      <c r="F60" s="168">
        <f t="shared" si="24"/>
        <v>0</v>
      </c>
      <c r="G60" s="168">
        <f t="shared" si="24"/>
        <v>265042.94</v>
      </c>
      <c r="H60" s="168">
        <f t="shared" si="24"/>
        <v>270343.82</v>
      </c>
      <c r="I60" s="168">
        <f t="shared" si="24"/>
        <v>275750.71999999997</v>
      </c>
      <c r="J60" s="168">
        <f t="shared" si="24"/>
        <v>281265.75</v>
      </c>
      <c r="K60" s="43"/>
      <c r="L60" s="268" t="s">
        <v>202</v>
      </c>
      <c r="M60" s="268"/>
      <c r="N60" s="268"/>
      <c r="O60" s="268"/>
      <c r="P60" s="268"/>
      <c r="Q60" s="268"/>
      <c r="R60" s="268"/>
    </row>
    <row r="61" spans="1:20" x14ac:dyDescent="0.2">
      <c r="A61" s="47"/>
      <c r="B61" s="48"/>
      <c r="C61" s="75"/>
      <c r="D61" s="75"/>
      <c r="E61" s="75"/>
      <c r="F61" s="75"/>
      <c r="G61" s="75"/>
      <c r="H61" s="75"/>
      <c r="I61" s="75"/>
      <c r="J61" s="75"/>
      <c r="K61" s="43"/>
      <c r="L61" s="268"/>
      <c r="M61" s="268"/>
      <c r="N61" s="268"/>
      <c r="O61" s="268"/>
      <c r="P61" s="268"/>
      <c r="Q61" s="268"/>
      <c r="R61" s="268"/>
    </row>
    <row r="62" spans="1:20" x14ac:dyDescent="0.2">
      <c r="A62" s="47"/>
      <c r="B62" s="182" t="s">
        <v>54</v>
      </c>
      <c r="C62" s="183">
        <f t="shared" ref="C62:J62" si="25">+C52+C60</f>
        <v>0</v>
      </c>
      <c r="D62" s="183">
        <f t="shared" si="25"/>
        <v>0</v>
      </c>
      <c r="E62" s="183">
        <f t="shared" si="25"/>
        <v>0</v>
      </c>
      <c r="F62" s="183">
        <f t="shared" si="25"/>
        <v>0</v>
      </c>
      <c r="G62" s="183">
        <f t="shared" si="25"/>
        <v>868480.76</v>
      </c>
      <c r="H62" s="183">
        <f t="shared" si="25"/>
        <v>864154.34000000008</v>
      </c>
      <c r="I62" s="183">
        <f t="shared" si="25"/>
        <v>868531.65999999992</v>
      </c>
      <c r="J62" s="183">
        <f t="shared" si="25"/>
        <v>877615.37000000011</v>
      </c>
      <c r="K62" s="43"/>
      <c r="L62" s="268"/>
      <c r="M62" s="268"/>
      <c r="N62" s="268"/>
      <c r="O62" s="268"/>
      <c r="P62" s="268"/>
      <c r="Q62" s="268"/>
      <c r="R62" s="268"/>
    </row>
    <row r="63" spans="1:20" ht="13.5" thickBot="1" x14ac:dyDescent="0.25">
      <c r="A63" s="47"/>
      <c r="B63" s="196" t="s">
        <v>49</v>
      </c>
      <c r="C63" s="197"/>
      <c r="D63" s="197"/>
      <c r="E63" s="197"/>
      <c r="F63" s="197">
        <f>+E63+F62</f>
        <v>0</v>
      </c>
      <c r="G63" s="197">
        <f t="shared" ref="G63" si="26">+F63+G62</f>
        <v>868480.76</v>
      </c>
      <c r="H63" s="197">
        <f t="shared" ref="H63" si="27">+G63+H62</f>
        <v>1732635.1</v>
      </c>
      <c r="I63" s="197">
        <f t="shared" ref="I63" si="28">+H63+I62</f>
        <v>2601166.7599999998</v>
      </c>
      <c r="J63" s="197">
        <f t="shared" ref="J63" si="29">+I63+J62</f>
        <v>3478782.13</v>
      </c>
      <c r="K63" s="43"/>
      <c r="L63" s="268"/>
      <c r="M63" s="268"/>
      <c r="N63" s="268"/>
      <c r="O63" s="268"/>
      <c r="P63" s="268"/>
      <c r="Q63" s="268"/>
      <c r="R63" s="268"/>
    </row>
    <row r="64" spans="1:20" ht="13.5" thickTop="1" x14ac:dyDescent="0.2">
      <c r="A64" s="47"/>
      <c r="B64" s="48"/>
      <c r="C64" s="75"/>
      <c r="D64" s="75"/>
      <c r="E64" s="75"/>
      <c r="F64" s="75"/>
      <c r="G64" s="75"/>
      <c r="H64" s="75"/>
      <c r="I64" s="75"/>
      <c r="J64" s="75"/>
      <c r="K64" s="43"/>
      <c r="L64" s="268"/>
      <c r="M64" s="268"/>
      <c r="N64" s="268"/>
      <c r="O64" s="268"/>
      <c r="P64" s="268"/>
      <c r="Q64" s="268"/>
      <c r="R64" s="268"/>
    </row>
    <row r="65" spans="1:18" ht="15.75" x14ac:dyDescent="0.25">
      <c r="A65" s="47"/>
      <c r="B65" s="172"/>
      <c r="C65" s="71"/>
      <c r="D65" s="71"/>
      <c r="E65" s="71"/>
      <c r="F65" s="72" t="s">
        <v>46</v>
      </c>
      <c r="G65" s="49">
        <v>2</v>
      </c>
      <c r="H65" s="49">
        <v>3</v>
      </c>
      <c r="I65" s="49">
        <v>4</v>
      </c>
      <c r="J65" s="49">
        <v>5</v>
      </c>
      <c r="K65" s="43"/>
      <c r="L65" s="268"/>
      <c r="M65" s="268"/>
      <c r="N65" s="268"/>
      <c r="O65" s="268"/>
      <c r="P65" s="268"/>
      <c r="Q65" s="268"/>
      <c r="R65" s="268"/>
    </row>
    <row r="66" spans="1:18" x14ac:dyDescent="0.2">
      <c r="A66" s="47"/>
      <c r="B66" s="184" t="s">
        <v>55</v>
      </c>
      <c r="C66" s="51">
        <f>+D66-1</f>
        <v>2021</v>
      </c>
      <c r="D66" s="51">
        <f>+E66-1</f>
        <v>2022</v>
      </c>
      <c r="E66" s="51">
        <f>+F66-1</f>
        <v>2023</v>
      </c>
      <c r="F66" s="73">
        <f>+F$13</f>
        <v>2024</v>
      </c>
      <c r="G66" s="51">
        <f t="shared" ref="G66" si="30">1+F66</f>
        <v>2025</v>
      </c>
      <c r="H66" s="51">
        <f t="shared" ref="H66" si="31">1+G66</f>
        <v>2026</v>
      </c>
      <c r="I66" s="51">
        <f t="shared" ref="I66" si="32">1+H66</f>
        <v>2027</v>
      </c>
      <c r="J66" s="51">
        <f t="shared" ref="J66" si="33">1+I66</f>
        <v>2028</v>
      </c>
      <c r="K66" s="43"/>
      <c r="L66" s="268"/>
      <c r="M66" s="268"/>
      <c r="N66" s="268"/>
      <c r="O66" s="268"/>
      <c r="P66" s="268"/>
      <c r="Q66" s="268"/>
      <c r="R66" s="268"/>
    </row>
    <row r="67" spans="1:18" x14ac:dyDescent="0.2">
      <c r="A67" s="47"/>
      <c r="B67" s="173" t="s">
        <v>56</v>
      </c>
      <c r="C67" s="178"/>
      <c r="D67" s="178">
        <v>0</v>
      </c>
      <c r="E67" s="178">
        <v>0</v>
      </c>
      <c r="F67" s="178">
        <v>0</v>
      </c>
      <c r="G67" s="178">
        <v>0</v>
      </c>
      <c r="H67" s="178">
        <v>0</v>
      </c>
      <c r="I67" s="178">
        <v>0</v>
      </c>
      <c r="J67" s="178">
        <v>0</v>
      </c>
      <c r="K67" s="43"/>
      <c r="L67" s="268"/>
      <c r="M67" s="268"/>
      <c r="N67" s="268"/>
      <c r="O67" s="268"/>
      <c r="P67" s="268"/>
      <c r="Q67" s="268"/>
      <c r="R67" s="268"/>
    </row>
    <row r="68" spans="1:18" x14ac:dyDescent="0.2">
      <c r="A68" s="47"/>
      <c r="B68" s="174" t="s">
        <v>57</v>
      </c>
      <c r="C68" s="179"/>
      <c r="D68" s="179">
        <v>0</v>
      </c>
      <c r="E68" s="179">
        <v>0</v>
      </c>
      <c r="F68" s="179">
        <v>0</v>
      </c>
      <c r="G68" s="179">
        <v>0</v>
      </c>
      <c r="H68" s="179">
        <v>0</v>
      </c>
      <c r="I68" s="179">
        <v>0</v>
      </c>
      <c r="J68" s="179">
        <v>0</v>
      </c>
      <c r="K68" s="43"/>
      <c r="L68" s="268"/>
      <c r="M68" s="268"/>
      <c r="N68" s="268"/>
      <c r="O68" s="268"/>
      <c r="P68" s="268"/>
      <c r="Q68" s="268"/>
      <c r="R68" s="268"/>
    </row>
    <row r="69" spans="1:18" x14ac:dyDescent="0.2">
      <c r="A69" s="47"/>
      <c r="B69" s="174" t="s">
        <v>58</v>
      </c>
      <c r="C69" s="238"/>
      <c r="D69" s="238">
        <v>0</v>
      </c>
      <c r="E69" s="238">
        <v>0</v>
      </c>
      <c r="F69" s="238">
        <v>0</v>
      </c>
      <c r="G69" s="238">
        <v>0</v>
      </c>
      <c r="H69" s="238">
        <v>0</v>
      </c>
      <c r="I69" s="238">
        <v>0</v>
      </c>
      <c r="J69" s="238">
        <v>0</v>
      </c>
      <c r="K69" s="43"/>
      <c r="L69" s="268"/>
      <c r="M69" s="268"/>
      <c r="N69" s="268"/>
      <c r="O69" s="268"/>
      <c r="P69" s="268"/>
      <c r="Q69" s="268"/>
      <c r="R69" s="268"/>
    </row>
    <row r="70" spans="1:18" x14ac:dyDescent="0.2">
      <c r="A70" s="47"/>
      <c r="B70" s="175" t="s">
        <v>59</v>
      </c>
      <c r="C70" s="181"/>
      <c r="D70" s="181">
        <v>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43"/>
      <c r="L70" s="268"/>
      <c r="M70" s="268"/>
      <c r="N70" s="268"/>
      <c r="O70" s="268"/>
      <c r="P70" s="268"/>
      <c r="Q70" s="268"/>
      <c r="R70" s="268"/>
    </row>
    <row r="71" spans="1:18" x14ac:dyDescent="0.2">
      <c r="A71" s="47"/>
      <c r="B71" s="70" t="s">
        <v>60</v>
      </c>
      <c r="C71" s="168">
        <f>+C67-C68-C69-C70</f>
        <v>0</v>
      </c>
      <c r="D71" s="168">
        <f t="shared" ref="D71:J71" si="34">+D67-D68-D69-D70</f>
        <v>0</v>
      </c>
      <c r="E71" s="168">
        <f t="shared" si="34"/>
        <v>0</v>
      </c>
      <c r="F71" s="168">
        <f t="shared" si="34"/>
        <v>0</v>
      </c>
      <c r="G71" s="168">
        <f t="shared" si="34"/>
        <v>0</v>
      </c>
      <c r="H71" s="168">
        <f t="shared" si="34"/>
        <v>0</v>
      </c>
      <c r="I71" s="168">
        <f t="shared" si="34"/>
        <v>0</v>
      </c>
      <c r="J71" s="168">
        <f t="shared" si="34"/>
        <v>0</v>
      </c>
      <c r="K71" s="43"/>
      <c r="L71" s="268"/>
      <c r="M71" s="268"/>
      <c r="N71" s="268"/>
      <c r="O71" s="268"/>
      <c r="P71" s="268"/>
      <c r="Q71" s="268"/>
      <c r="R71" s="268"/>
    </row>
    <row r="72" spans="1:18" x14ac:dyDescent="0.2">
      <c r="A72" s="47"/>
      <c r="B72" s="70"/>
      <c r="C72" s="168"/>
      <c r="D72" s="168"/>
      <c r="E72" s="168"/>
      <c r="F72" s="168"/>
      <c r="G72" s="168"/>
      <c r="H72" s="168"/>
      <c r="I72" s="168"/>
      <c r="J72" s="168"/>
      <c r="K72" s="43"/>
      <c r="L72" s="268"/>
      <c r="M72" s="268"/>
      <c r="N72" s="268"/>
      <c r="O72" s="268"/>
      <c r="P72" s="268"/>
      <c r="Q72" s="268"/>
      <c r="R72" s="268"/>
    </row>
    <row r="73" spans="1:18" x14ac:dyDescent="0.2">
      <c r="A73" s="47"/>
      <c r="B73" s="48"/>
      <c r="C73" s="71"/>
      <c r="D73" s="71"/>
      <c r="E73" s="71"/>
      <c r="F73" s="202" t="s">
        <v>41</v>
      </c>
      <c r="G73" s="203">
        <v>2</v>
      </c>
      <c r="H73" s="203">
        <v>3</v>
      </c>
      <c r="I73" s="203">
        <v>4</v>
      </c>
      <c r="J73" s="203">
        <v>5</v>
      </c>
      <c r="K73" s="43"/>
      <c r="L73" s="268"/>
      <c r="M73" s="268"/>
      <c r="N73" s="268"/>
      <c r="O73" s="268"/>
      <c r="P73" s="268"/>
      <c r="Q73" s="268"/>
      <c r="R73" s="268"/>
    </row>
    <row r="74" spans="1:18" x14ac:dyDescent="0.2">
      <c r="A74" s="47"/>
      <c r="B74" s="50" t="s">
        <v>61</v>
      </c>
      <c r="C74" s="51">
        <f>+D74-1</f>
        <v>2021</v>
      </c>
      <c r="D74" s="51">
        <f>+E74-1</f>
        <v>2022</v>
      </c>
      <c r="E74" s="51">
        <f>+F74-1</f>
        <v>2023</v>
      </c>
      <c r="F74" s="73">
        <f>+F$13</f>
        <v>2024</v>
      </c>
      <c r="G74" s="51">
        <f t="shared" ref="G74" si="35">1+F74</f>
        <v>2025</v>
      </c>
      <c r="H74" s="51">
        <f t="shared" ref="H74" si="36">1+G74</f>
        <v>2026</v>
      </c>
      <c r="I74" s="51">
        <f t="shared" ref="I74" si="37">1+H74</f>
        <v>2027</v>
      </c>
      <c r="J74" s="51">
        <f t="shared" ref="J74" si="38">1+I74</f>
        <v>2028</v>
      </c>
      <c r="K74" s="43"/>
      <c r="L74" s="268"/>
      <c r="M74" s="268"/>
      <c r="N74" s="268"/>
      <c r="O74" s="268"/>
      <c r="P74" s="268"/>
      <c r="Q74" s="268"/>
      <c r="R74" s="268"/>
    </row>
    <row r="75" spans="1:18" x14ac:dyDescent="0.2">
      <c r="A75" s="47"/>
      <c r="B75" s="242" t="s">
        <v>62</v>
      </c>
      <c r="C75" s="243">
        <f t="shared" ref="C75:J75" si="39">IFERROR(C49/C$42/12,0)</f>
        <v>0.93808333333333327</v>
      </c>
      <c r="D75" s="243">
        <f t="shared" si="39"/>
        <v>0.24677830917373686</v>
      </c>
      <c r="E75" s="243">
        <f t="shared" si="39"/>
        <v>1.3393922837358287</v>
      </c>
      <c r="F75" s="243">
        <f t="shared" si="39"/>
        <v>1.4444716969957208</v>
      </c>
      <c r="G75" s="243">
        <f t="shared" si="39"/>
        <v>1.4108782593245186</v>
      </c>
      <c r="H75" s="243">
        <f t="shared" si="39"/>
        <v>1.3989992152449771</v>
      </c>
      <c r="I75" s="243">
        <f t="shared" si="39"/>
        <v>1.3977288251871813</v>
      </c>
      <c r="J75" s="243">
        <f t="shared" si="39"/>
        <v>1.4021321892690921</v>
      </c>
      <c r="K75" s="43"/>
      <c r="L75" s="268"/>
      <c r="M75" s="268"/>
      <c r="N75" s="268"/>
      <c r="O75" s="268"/>
      <c r="P75" s="268"/>
      <c r="Q75" s="268"/>
      <c r="R75" s="268"/>
    </row>
    <row r="76" spans="1:18" x14ac:dyDescent="0.2">
      <c r="A76" s="47"/>
      <c r="B76" s="242" t="s">
        <v>63</v>
      </c>
      <c r="C76" s="243">
        <f t="shared" ref="C76:J76" si="40">IFERROR(C50/C43/12,0)</f>
        <v>0</v>
      </c>
      <c r="D76" s="243">
        <f t="shared" si="40"/>
        <v>0</v>
      </c>
      <c r="E76" s="243">
        <f t="shared" si="40"/>
        <v>0</v>
      </c>
      <c r="F76" s="243">
        <f t="shared" si="40"/>
        <v>0</v>
      </c>
      <c r="G76" s="243">
        <f t="shared" si="40"/>
        <v>1.8</v>
      </c>
      <c r="H76" s="243">
        <f t="shared" si="40"/>
        <v>1.8</v>
      </c>
      <c r="I76" s="243">
        <f t="shared" si="40"/>
        <v>1.8</v>
      </c>
      <c r="J76" s="243">
        <f t="shared" si="40"/>
        <v>1.8</v>
      </c>
      <c r="K76" s="43"/>
      <c r="L76" s="268"/>
      <c r="M76" s="268"/>
      <c r="N76" s="268"/>
      <c r="O76" s="268"/>
      <c r="P76" s="268"/>
      <c r="Q76" s="268"/>
      <c r="R76" s="268"/>
    </row>
    <row r="77" spans="1:18" x14ac:dyDescent="0.2">
      <c r="A77" s="47"/>
      <c r="B77" s="48" t="s">
        <v>64</v>
      </c>
      <c r="C77" s="164">
        <f>+C75*12</f>
        <v>11.257</v>
      </c>
      <c r="D77" s="164">
        <f t="shared" ref="D77:J77" si="41">+D75*12</f>
        <v>2.9613397100848422</v>
      </c>
      <c r="E77" s="164">
        <f t="shared" si="41"/>
        <v>16.072707404829945</v>
      </c>
      <c r="F77" s="164">
        <f t="shared" si="41"/>
        <v>17.333660363948649</v>
      </c>
      <c r="G77" s="164">
        <f t="shared" si="41"/>
        <v>16.930539111894223</v>
      </c>
      <c r="H77" s="164">
        <f t="shared" si="41"/>
        <v>16.787990582939724</v>
      </c>
      <c r="I77" s="164">
        <f t="shared" si="41"/>
        <v>16.772745902246175</v>
      </c>
      <c r="J77" s="164">
        <f t="shared" si="41"/>
        <v>16.825586271229106</v>
      </c>
      <c r="K77" s="43"/>
      <c r="L77" s="268"/>
      <c r="M77" s="268"/>
      <c r="N77" s="268"/>
      <c r="O77" s="268"/>
      <c r="P77" s="268"/>
      <c r="Q77" s="268"/>
      <c r="R77" s="268"/>
    </row>
    <row r="78" spans="1:18" x14ac:dyDescent="0.2">
      <c r="A78" s="47"/>
      <c r="B78" s="48" t="s">
        <v>65</v>
      </c>
      <c r="C78" s="164">
        <f t="shared" ref="C78:J78" si="42">+C76*12</f>
        <v>0</v>
      </c>
      <c r="D78" s="164">
        <f t="shared" si="42"/>
        <v>0</v>
      </c>
      <c r="E78" s="164">
        <f t="shared" si="42"/>
        <v>0</v>
      </c>
      <c r="F78" s="164">
        <f t="shared" si="42"/>
        <v>0</v>
      </c>
      <c r="G78" s="164">
        <f t="shared" si="42"/>
        <v>21.6</v>
      </c>
      <c r="H78" s="164">
        <f t="shared" si="42"/>
        <v>21.6</v>
      </c>
      <c r="I78" s="164">
        <f t="shared" si="42"/>
        <v>21.6</v>
      </c>
      <c r="J78" s="164">
        <f t="shared" si="42"/>
        <v>21.6</v>
      </c>
      <c r="K78" s="43"/>
      <c r="L78" s="268"/>
      <c r="M78" s="268"/>
      <c r="N78" s="268"/>
      <c r="O78" s="268"/>
      <c r="P78" s="268"/>
      <c r="Q78" s="268"/>
      <c r="R78" s="268"/>
    </row>
    <row r="79" spans="1:18" x14ac:dyDescent="0.2">
      <c r="A79" s="47"/>
      <c r="B79" s="48"/>
      <c r="C79" s="164"/>
      <c r="D79" s="164"/>
      <c r="E79" s="164"/>
      <c r="F79" s="164"/>
      <c r="G79" s="164"/>
      <c r="H79" s="164"/>
      <c r="I79" s="164"/>
      <c r="J79" s="164"/>
      <c r="K79" s="43"/>
      <c r="L79" s="268"/>
      <c r="M79" s="268"/>
      <c r="N79" s="268"/>
      <c r="O79" s="268"/>
      <c r="P79" s="268"/>
      <c r="Q79" s="268"/>
      <c r="R79" s="268"/>
    </row>
    <row r="80" spans="1:18" x14ac:dyDescent="0.2">
      <c r="A80" s="47"/>
      <c r="B80" s="57" t="s">
        <v>66</v>
      </c>
      <c r="C80" s="170">
        <f t="shared" ref="C80:J81" si="43">IFERROR(C49/C$24,0)</f>
        <v>0</v>
      </c>
      <c r="D80" s="170">
        <f t="shared" si="43"/>
        <v>2.5833631927062357E-2</v>
      </c>
      <c r="E80" s="170">
        <f t="shared" si="43"/>
        <v>0.13168247329063743</v>
      </c>
      <c r="F80" s="170">
        <f t="shared" si="43"/>
        <v>0.12869882379869191</v>
      </c>
      <c r="G80" s="170">
        <f t="shared" si="43"/>
        <v>0.11884175217294241</v>
      </c>
      <c r="H80" s="170">
        <f t="shared" si="43"/>
        <v>0.1118861854309315</v>
      </c>
      <c r="I80" s="170">
        <f t="shared" si="43"/>
        <v>0.10631398573315134</v>
      </c>
      <c r="J80" s="170">
        <f t="shared" si="43"/>
        <v>0.10358662437208536</v>
      </c>
      <c r="K80" s="43"/>
      <c r="L80" s="268"/>
      <c r="M80" s="268"/>
      <c r="N80" s="268"/>
      <c r="O80" s="268"/>
      <c r="P80" s="268"/>
      <c r="Q80" s="268"/>
      <c r="R80" s="268"/>
    </row>
    <row r="81" spans="1:18" x14ac:dyDescent="0.2">
      <c r="A81" s="47"/>
      <c r="B81" s="48" t="s">
        <v>67</v>
      </c>
      <c r="C81" s="171">
        <f t="shared" si="43"/>
        <v>0</v>
      </c>
      <c r="D81" s="171">
        <f t="shared" si="43"/>
        <v>0</v>
      </c>
      <c r="E81" s="171">
        <f t="shared" si="43"/>
        <v>0</v>
      </c>
      <c r="F81" s="171">
        <f t="shared" si="43"/>
        <v>0</v>
      </c>
      <c r="G81" s="171">
        <f t="shared" si="43"/>
        <v>5.6124211610727455E-2</v>
      </c>
      <c r="H81" s="171">
        <f t="shared" si="43"/>
        <v>5.3288039815244444E-2</v>
      </c>
      <c r="I81" s="171">
        <f t="shared" si="43"/>
        <v>5.0680189142219965E-2</v>
      </c>
      <c r="J81" s="171">
        <f t="shared" si="43"/>
        <v>4.9224971062098027E-2</v>
      </c>
      <c r="K81" s="43"/>
      <c r="L81" s="268"/>
      <c r="M81" s="268"/>
      <c r="N81" s="268"/>
      <c r="O81" s="268"/>
      <c r="P81" s="268"/>
      <c r="Q81" s="268"/>
      <c r="R81" s="268"/>
    </row>
    <row r="82" spans="1:18" x14ac:dyDescent="0.2">
      <c r="A82" s="47"/>
      <c r="B82" s="70"/>
      <c r="C82" s="167"/>
      <c r="D82" s="167"/>
      <c r="E82" s="167"/>
      <c r="F82" s="167"/>
      <c r="G82" s="167"/>
      <c r="H82" s="167"/>
      <c r="I82" s="167"/>
      <c r="J82" s="167"/>
      <c r="K82" s="43"/>
      <c r="L82" s="268"/>
      <c r="M82" s="268"/>
      <c r="N82" s="268"/>
      <c r="O82" s="268"/>
      <c r="P82" s="268"/>
      <c r="Q82" s="268"/>
      <c r="R82" s="268"/>
    </row>
    <row r="83" spans="1:18" x14ac:dyDescent="0.2">
      <c r="A83" s="47"/>
      <c r="B83" s="57" t="s">
        <v>68</v>
      </c>
      <c r="C83" s="169">
        <f>IFERROR(C49/#REF!-1,0)</f>
        <v>0</v>
      </c>
      <c r="D83" s="169">
        <f t="shared" ref="D83:J84" si="44">IFERROR(D49/C49-1,0)</f>
        <v>0.61515662981417618</v>
      </c>
      <c r="E83" s="169">
        <f t="shared" si="44"/>
        <v>4.4275121999999998</v>
      </c>
      <c r="F83" s="169">
        <f t="shared" si="44"/>
        <v>7.8453052579043447E-2</v>
      </c>
      <c r="G83" s="169">
        <f t="shared" si="44"/>
        <v>-2.325655652587133E-2</v>
      </c>
      <c r="H83" s="169">
        <f t="shared" si="44"/>
        <v>-8.419609559529917E-3</v>
      </c>
      <c r="I83" s="169">
        <f t="shared" si="44"/>
        <v>-9.08070600720845E-4</v>
      </c>
      <c r="J83" s="169">
        <f t="shared" si="44"/>
        <v>3.1503708033788769E-3</v>
      </c>
      <c r="K83" s="43"/>
      <c r="L83" s="268"/>
      <c r="M83" s="268"/>
      <c r="N83" s="268"/>
      <c r="O83" s="268"/>
      <c r="P83" s="268"/>
      <c r="Q83" s="268"/>
      <c r="R83" s="268"/>
    </row>
    <row r="84" spans="1:18" x14ac:dyDescent="0.2">
      <c r="A84" s="47"/>
      <c r="B84" s="48" t="s">
        <v>27</v>
      </c>
      <c r="C84" s="76">
        <f>IFERROR(C50/#REF!-1,0)</f>
        <v>0</v>
      </c>
      <c r="D84" s="76">
        <f t="shared" si="44"/>
        <v>0</v>
      </c>
      <c r="E84" s="76">
        <f t="shared" si="44"/>
        <v>0</v>
      </c>
      <c r="F84" s="76">
        <f t="shared" si="44"/>
        <v>0</v>
      </c>
      <c r="G84" s="76">
        <f t="shared" si="44"/>
        <v>0</v>
      </c>
      <c r="H84" s="76">
        <f t="shared" si="44"/>
        <v>0</v>
      </c>
      <c r="I84" s="76">
        <f t="shared" si="44"/>
        <v>0</v>
      </c>
      <c r="J84" s="76">
        <f t="shared" si="44"/>
        <v>0</v>
      </c>
      <c r="K84" s="43"/>
      <c r="L84" s="268"/>
      <c r="M84" s="268"/>
      <c r="N84" s="268"/>
      <c r="O84" s="268"/>
      <c r="P84" s="268"/>
      <c r="Q84" s="268"/>
      <c r="R84" s="268"/>
    </row>
    <row r="85" spans="1:18" x14ac:dyDescent="0.2">
      <c r="A85" s="47"/>
      <c r="B85" s="48"/>
      <c r="C85" s="76"/>
      <c r="D85" s="76"/>
      <c r="E85" s="76"/>
      <c r="F85" s="76"/>
      <c r="G85" s="76"/>
      <c r="H85" s="76"/>
      <c r="I85" s="76"/>
      <c r="J85" s="76"/>
      <c r="K85" s="43"/>
      <c r="L85" s="268"/>
      <c r="M85" s="268"/>
      <c r="N85" s="268"/>
      <c r="O85" s="268"/>
      <c r="P85" s="268"/>
      <c r="Q85" s="268"/>
      <c r="R85" s="268"/>
    </row>
    <row r="86" spans="1:18" x14ac:dyDescent="0.2">
      <c r="A86" s="47"/>
      <c r="B86" s="48" t="s">
        <v>69</v>
      </c>
      <c r="C86" s="235">
        <f t="shared" ref="C86:J86" si="45">IF(C16&gt;0,C42/C16,C43/C17)</f>
        <v>55.555555555555557</v>
      </c>
      <c r="D86" s="235">
        <f t="shared" si="45"/>
        <v>74.813346035403328</v>
      </c>
      <c r="E86" s="235">
        <f t="shared" si="45"/>
        <v>71.771519659936232</v>
      </c>
      <c r="F86" s="235">
        <f t="shared" si="45"/>
        <v>23.105360443622921</v>
      </c>
      <c r="G86" s="235">
        <f t="shared" si="45"/>
        <v>21.440823327615782</v>
      </c>
      <c r="H86" s="235">
        <f t="shared" si="45"/>
        <v>20.458265139116204</v>
      </c>
      <c r="I86" s="235">
        <f t="shared" si="45"/>
        <v>19.561815336463223</v>
      </c>
      <c r="J86" s="235">
        <f t="shared" si="45"/>
        <v>19.142419601837673</v>
      </c>
      <c r="K86" s="43"/>
      <c r="L86" s="268"/>
      <c r="M86" s="268"/>
      <c r="N86" s="268"/>
      <c r="O86" s="268"/>
      <c r="P86" s="268"/>
      <c r="Q86" s="268"/>
      <c r="R86" s="268"/>
    </row>
    <row r="87" spans="1:18" x14ac:dyDescent="0.2">
      <c r="A87" s="47"/>
      <c r="B87" s="48"/>
      <c r="C87" s="76"/>
      <c r="D87" s="76"/>
      <c r="E87" s="76"/>
      <c r="F87" s="76"/>
      <c r="G87" s="76"/>
      <c r="H87" s="76"/>
      <c r="I87" s="76"/>
      <c r="J87" s="76"/>
      <c r="K87" s="43"/>
      <c r="L87" s="268"/>
      <c r="M87" s="268"/>
      <c r="N87" s="268"/>
      <c r="O87" s="268"/>
      <c r="P87" s="268"/>
      <c r="Q87" s="268"/>
      <c r="R87" s="268"/>
    </row>
    <row r="88" spans="1:18" x14ac:dyDescent="0.2">
      <c r="A88" s="47"/>
      <c r="B88" s="237" t="s">
        <v>70</v>
      </c>
      <c r="C88" s="76"/>
      <c r="D88" s="76"/>
      <c r="E88" s="76"/>
      <c r="F88" s="76"/>
      <c r="G88" s="76"/>
      <c r="H88" s="76"/>
      <c r="I88" s="76"/>
      <c r="J88" s="76"/>
      <c r="K88" s="43"/>
      <c r="L88" s="268"/>
      <c r="M88" s="268"/>
      <c r="N88" s="268"/>
      <c r="O88" s="268"/>
      <c r="P88" s="268"/>
      <c r="Q88" s="268"/>
      <c r="R88" s="268"/>
    </row>
    <row r="89" spans="1:18" x14ac:dyDescent="0.2">
      <c r="A89" s="47"/>
      <c r="B89" s="237" t="s">
        <v>71</v>
      </c>
      <c r="C89" s="76"/>
      <c r="D89" s="76"/>
      <c r="E89" s="76"/>
      <c r="F89" s="76"/>
      <c r="G89" s="76"/>
      <c r="H89" s="76"/>
      <c r="I89" s="76"/>
      <c r="J89" s="76"/>
      <c r="K89" s="43"/>
      <c r="L89" s="268"/>
      <c r="M89" s="268"/>
      <c r="N89" s="268"/>
      <c r="O89" s="268"/>
      <c r="P89" s="268"/>
      <c r="Q89" s="268"/>
      <c r="R89" s="268"/>
    </row>
    <row r="90" spans="1:18" x14ac:dyDescent="0.2">
      <c r="A90" s="47"/>
      <c r="B90" s="48"/>
      <c r="C90" s="76"/>
      <c r="D90" s="76"/>
      <c r="E90" s="76"/>
      <c r="F90" s="76"/>
      <c r="G90" s="76"/>
      <c r="H90" s="76"/>
      <c r="I90" s="76"/>
      <c r="J90" s="76"/>
      <c r="K90" s="43"/>
      <c r="L90" s="268"/>
      <c r="M90" s="268"/>
      <c r="N90" s="268"/>
      <c r="O90" s="268"/>
      <c r="P90" s="268"/>
      <c r="Q90" s="268"/>
      <c r="R90" s="268"/>
    </row>
    <row r="91" spans="1:18" x14ac:dyDescent="0.2">
      <c r="A91" s="47"/>
      <c r="C91" s="76"/>
      <c r="D91" s="76"/>
      <c r="E91" s="76"/>
      <c r="F91" s="76"/>
      <c r="G91" s="76"/>
      <c r="H91" s="76"/>
      <c r="I91" s="76"/>
      <c r="J91" s="76"/>
      <c r="K91" s="43"/>
      <c r="L91" s="268"/>
      <c r="M91" s="268"/>
      <c r="N91" s="268"/>
      <c r="O91" s="268"/>
      <c r="P91" s="268"/>
      <c r="Q91" s="268"/>
      <c r="R91" s="268"/>
    </row>
    <row r="92" spans="1:18" x14ac:dyDescent="0.2">
      <c r="A92" s="47"/>
      <c r="C92" s="76"/>
      <c r="D92" s="76"/>
      <c r="E92" s="76"/>
      <c r="F92" s="76"/>
      <c r="G92" s="76"/>
      <c r="H92" s="76"/>
      <c r="I92" s="76"/>
      <c r="J92" s="76"/>
      <c r="K92" s="43"/>
      <c r="L92" s="268"/>
      <c r="M92" s="268"/>
      <c r="N92" s="268"/>
      <c r="O92" s="268"/>
      <c r="P92" s="268"/>
      <c r="Q92" s="268"/>
      <c r="R92" s="268"/>
    </row>
    <row r="93" spans="1:18" x14ac:dyDescent="0.2">
      <c r="A93" s="47"/>
      <c r="B93" s="227"/>
      <c r="C93" s="76"/>
      <c r="D93" s="76"/>
      <c r="E93" s="76"/>
      <c r="F93" s="76"/>
      <c r="G93" s="76"/>
      <c r="H93" s="76"/>
      <c r="I93" s="76"/>
      <c r="J93" s="76"/>
      <c r="K93" s="43"/>
      <c r="M93" s="47"/>
      <c r="N93" s="47"/>
      <c r="O93" s="47"/>
      <c r="P93" s="47"/>
      <c r="Q93" s="47"/>
      <c r="R93" s="47"/>
    </row>
    <row r="94" spans="1:18" x14ac:dyDescent="0.2">
      <c r="A94" s="47"/>
      <c r="B94" s="48"/>
      <c r="C94" s="76"/>
      <c r="D94" s="76"/>
      <c r="E94" s="76"/>
      <c r="F94" s="76"/>
      <c r="G94" s="76"/>
      <c r="H94" s="76"/>
      <c r="I94" s="76"/>
      <c r="J94" s="76"/>
      <c r="K94" s="43"/>
      <c r="M94" s="47"/>
      <c r="N94" s="47"/>
      <c r="O94" s="47"/>
      <c r="P94" s="47"/>
      <c r="Q94" s="47"/>
      <c r="R94" s="47"/>
    </row>
    <row r="95" spans="1:18" x14ac:dyDescent="0.2">
      <c r="A95" s="47"/>
      <c r="B95" s="48"/>
      <c r="C95" s="76"/>
      <c r="D95" s="76"/>
      <c r="E95" s="76"/>
      <c r="F95" s="76"/>
      <c r="G95" s="76"/>
      <c r="H95" s="76"/>
      <c r="I95" s="76"/>
      <c r="J95" s="76"/>
      <c r="K95" s="43"/>
      <c r="M95" s="47"/>
      <c r="N95" s="47"/>
      <c r="O95" s="47"/>
      <c r="P95" s="47"/>
      <c r="Q95" s="47"/>
      <c r="R95" s="47"/>
    </row>
    <row r="96" spans="1:18" x14ac:dyDescent="0.2">
      <c r="A96" s="47"/>
      <c r="B96" s="48"/>
      <c r="C96" s="76"/>
      <c r="D96" s="76"/>
      <c r="E96" s="76"/>
      <c r="F96" s="76"/>
      <c r="G96" s="76"/>
      <c r="H96" s="76"/>
      <c r="I96" s="76"/>
      <c r="J96" s="76"/>
      <c r="K96" s="43"/>
      <c r="M96" s="47"/>
      <c r="N96" s="47"/>
      <c r="O96" s="47"/>
      <c r="P96" s="47"/>
      <c r="Q96" s="47"/>
      <c r="R96" s="47"/>
    </row>
    <row r="97" spans="1:18" x14ac:dyDescent="0.2">
      <c r="A97" s="47"/>
      <c r="B97" s="48"/>
      <c r="C97" s="76"/>
      <c r="D97" s="76"/>
      <c r="E97" s="76"/>
      <c r="F97" s="76"/>
      <c r="G97" s="76"/>
      <c r="H97" s="76"/>
      <c r="I97" s="76"/>
      <c r="J97" s="76"/>
      <c r="K97" s="43"/>
      <c r="M97" s="47"/>
      <c r="N97" s="47"/>
      <c r="O97" s="47"/>
      <c r="P97" s="47"/>
      <c r="Q97" s="47"/>
      <c r="R97" s="47"/>
    </row>
    <row r="98" spans="1:18" x14ac:dyDescent="0.2">
      <c r="A98" s="47"/>
      <c r="B98" s="48"/>
      <c r="C98" s="76"/>
      <c r="D98" s="76"/>
      <c r="E98" s="76"/>
      <c r="F98" s="76"/>
      <c r="G98" s="76"/>
      <c r="H98" s="76"/>
      <c r="I98" s="76"/>
      <c r="J98" s="76"/>
      <c r="K98" s="43"/>
      <c r="M98" s="47"/>
      <c r="N98" s="47"/>
      <c r="O98" s="47"/>
      <c r="P98" s="47"/>
      <c r="Q98" s="47"/>
      <c r="R98" s="47"/>
    </row>
    <row r="99" spans="1:18" x14ac:dyDescent="0.2">
      <c r="A99" s="47"/>
      <c r="B99" s="48"/>
      <c r="C99" s="76"/>
      <c r="D99" s="76"/>
      <c r="E99" s="76"/>
      <c r="F99" s="76"/>
      <c r="G99" s="76"/>
      <c r="H99" s="76"/>
      <c r="I99" s="76"/>
      <c r="J99" s="76"/>
      <c r="K99" s="43"/>
      <c r="M99" s="47"/>
      <c r="N99" s="47"/>
      <c r="O99" s="47"/>
      <c r="P99" s="47"/>
      <c r="Q99" s="47"/>
      <c r="R99" s="47"/>
    </row>
    <row r="100" spans="1:18" x14ac:dyDescent="0.2">
      <c r="A100" s="47"/>
      <c r="B100" s="48"/>
      <c r="C100" s="76"/>
      <c r="D100" s="76"/>
      <c r="E100" s="76"/>
      <c r="F100" s="76"/>
      <c r="G100" s="76"/>
      <c r="H100" s="76"/>
      <c r="I100" s="76"/>
      <c r="J100" s="76"/>
      <c r="K100" s="43"/>
      <c r="M100" s="47"/>
      <c r="N100" s="47"/>
      <c r="O100" s="47"/>
      <c r="P100" s="47"/>
      <c r="Q100" s="47"/>
      <c r="R100" s="47"/>
    </row>
    <row r="101" spans="1:18" x14ac:dyDescent="0.2">
      <c r="A101" s="47"/>
      <c r="B101" s="48"/>
      <c r="C101" s="76"/>
      <c r="D101" s="76"/>
      <c r="E101" s="76"/>
      <c r="F101" s="76"/>
      <c r="G101" s="76"/>
      <c r="H101" s="76"/>
      <c r="I101" s="76"/>
      <c r="J101" s="76"/>
      <c r="K101" s="43"/>
      <c r="M101" s="47"/>
      <c r="N101" s="47"/>
      <c r="O101" s="47"/>
      <c r="P101" s="47"/>
      <c r="Q101" s="47"/>
      <c r="R101" s="47"/>
    </row>
    <row r="102" spans="1:18" x14ac:dyDescent="0.2">
      <c r="A102" s="47"/>
      <c r="B102" s="48"/>
      <c r="C102" s="76"/>
      <c r="D102" s="76"/>
      <c r="E102" s="76"/>
      <c r="F102" s="76"/>
      <c r="G102" s="76"/>
      <c r="H102" s="76"/>
      <c r="I102" s="76"/>
      <c r="J102" s="76"/>
      <c r="K102" s="43"/>
      <c r="M102" s="47"/>
      <c r="N102" s="47"/>
      <c r="O102" s="47"/>
      <c r="P102" s="47"/>
      <c r="Q102" s="47"/>
      <c r="R102" s="47"/>
    </row>
    <row r="103" spans="1:18" x14ac:dyDescent="0.2">
      <c r="A103" s="47"/>
      <c r="B103" s="48"/>
      <c r="C103" s="76"/>
      <c r="D103" s="76"/>
      <c r="E103" s="76"/>
      <c r="F103" s="76"/>
      <c r="G103" s="76"/>
      <c r="H103" s="76"/>
      <c r="I103" s="76"/>
      <c r="J103" s="76"/>
      <c r="K103" s="43"/>
      <c r="M103" s="47"/>
      <c r="N103" s="47"/>
      <c r="O103" s="47"/>
      <c r="P103" s="47"/>
      <c r="Q103" s="47"/>
      <c r="R103" s="47"/>
    </row>
    <row r="104" spans="1:18" x14ac:dyDescent="0.2">
      <c r="A104" s="47"/>
      <c r="B104" s="48"/>
      <c r="C104" s="76"/>
      <c r="D104" s="76"/>
      <c r="E104" s="76"/>
      <c r="F104" s="76"/>
      <c r="G104" s="76"/>
      <c r="H104" s="76"/>
      <c r="I104" s="76"/>
      <c r="J104" s="76"/>
      <c r="K104" s="43"/>
      <c r="M104" s="47"/>
      <c r="N104" s="47"/>
      <c r="O104" s="47"/>
      <c r="P104" s="47"/>
      <c r="Q104" s="47"/>
      <c r="R104" s="47"/>
    </row>
    <row r="105" spans="1:18" x14ac:dyDescent="0.2">
      <c r="A105" s="47"/>
      <c r="B105" s="48"/>
      <c r="C105" s="76"/>
      <c r="D105" s="76"/>
      <c r="E105" s="76"/>
      <c r="F105" s="76"/>
      <c r="G105" s="76"/>
      <c r="H105" s="76"/>
      <c r="I105" s="76"/>
      <c r="J105" s="76"/>
      <c r="K105" s="43"/>
      <c r="M105" s="47"/>
      <c r="N105" s="47"/>
      <c r="O105" s="47"/>
      <c r="P105" s="47"/>
      <c r="Q105" s="47"/>
      <c r="R105" s="47"/>
    </row>
    <row r="106" spans="1:18" x14ac:dyDescent="0.2">
      <c r="A106" s="47"/>
      <c r="B106" s="48"/>
      <c r="C106" s="76"/>
      <c r="D106" s="76"/>
      <c r="E106" s="76"/>
      <c r="F106" s="76"/>
      <c r="G106" s="76"/>
      <c r="H106" s="76"/>
      <c r="I106" s="76"/>
      <c r="J106" s="76"/>
      <c r="K106" s="43"/>
      <c r="M106" s="47"/>
      <c r="N106" s="47"/>
      <c r="O106" s="47"/>
      <c r="P106" s="47"/>
      <c r="Q106" s="47"/>
      <c r="R106" s="47"/>
    </row>
    <row r="107" spans="1:18" x14ac:dyDescent="0.2">
      <c r="A107" s="47"/>
      <c r="B107" s="48"/>
      <c r="C107" s="76"/>
      <c r="D107" s="76"/>
      <c r="E107" s="76"/>
      <c r="F107" s="76"/>
      <c r="G107" s="76"/>
      <c r="H107" s="76"/>
      <c r="I107" s="76"/>
      <c r="J107" s="76"/>
      <c r="K107" s="43"/>
      <c r="M107" s="47"/>
      <c r="N107" s="47"/>
      <c r="O107" s="47"/>
      <c r="P107" s="47"/>
      <c r="Q107" s="47"/>
      <c r="R107" s="47"/>
    </row>
    <row r="108" spans="1:18" x14ac:dyDescent="0.2">
      <c r="A108" s="47"/>
      <c r="B108" s="48"/>
      <c r="C108" s="76"/>
      <c r="D108" s="76"/>
      <c r="E108" s="76"/>
      <c r="F108" s="76"/>
      <c r="G108" s="76"/>
      <c r="H108" s="76"/>
      <c r="I108" s="76"/>
      <c r="J108" s="76"/>
      <c r="K108" s="43"/>
      <c r="M108" s="47"/>
      <c r="N108" s="47"/>
      <c r="O108" s="47"/>
      <c r="P108" s="47"/>
      <c r="Q108" s="47"/>
      <c r="R108" s="47"/>
    </row>
    <row r="109" spans="1:18" x14ac:dyDescent="0.2">
      <c r="A109" s="47"/>
      <c r="B109" s="48"/>
      <c r="C109" s="76"/>
      <c r="D109" s="76"/>
      <c r="E109" s="76"/>
      <c r="F109" s="76"/>
      <c r="G109" s="76"/>
      <c r="H109" s="76"/>
      <c r="I109" s="76"/>
      <c r="J109" s="76"/>
      <c r="K109" s="43"/>
      <c r="M109" s="47"/>
      <c r="N109" s="47"/>
      <c r="O109" s="47"/>
      <c r="P109" s="47"/>
      <c r="Q109" s="47"/>
      <c r="R109" s="47"/>
    </row>
    <row r="110" spans="1:18" x14ac:dyDescent="0.2">
      <c r="A110" s="47"/>
      <c r="B110" s="48"/>
      <c r="C110" s="76"/>
      <c r="D110" s="76"/>
      <c r="E110" s="76"/>
      <c r="F110" s="76"/>
      <c r="G110" s="76"/>
      <c r="H110" s="76"/>
      <c r="I110" s="76"/>
      <c r="J110" s="76"/>
      <c r="K110" s="43"/>
      <c r="M110" s="47"/>
      <c r="N110" s="47"/>
      <c r="O110" s="47"/>
      <c r="P110" s="47"/>
      <c r="Q110" s="47"/>
      <c r="R110" s="47"/>
    </row>
    <row r="111" spans="1:18" x14ac:dyDescent="0.2">
      <c r="A111" s="47"/>
      <c r="B111" s="48"/>
      <c r="C111" s="76"/>
      <c r="D111" s="76"/>
      <c r="E111" s="76"/>
      <c r="F111" s="76"/>
      <c r="G111" s="76"/>
      <c r="H111" s="76"/>
      <c r="I111" s="76"/>
      <c r="J111" s="76"/>
      <c r="K111" s="43"/>
      <c r="M111" s="47"/>
      <c r="N111" s="47"/>
      <c r="O111" s="47"/>
      <c r="P111" s="47"/>
      <c r="Q111" s="47"/>
      <c r="R111" s="47"/>
    </row>
    <row r="112" spans="1:18" x14ac:dyDescent="0.2">
      <c r="A112" s="47"/>
      <c r="B112" s="48"/>
      <c r="C112" s="76"/>
      <c r="D112" s="76"/>
      <c r="E112" s="76"/>
      <c r="F112" s="76"/>
      <c r="G112" s="76"/>
      <c r="H112" s="76"/>
      <c r="I112" s="76"/>
      <c r="J112" s="76"/>
      <c r="K112" s="43"/>
      <c r="M112" s="47"/>
      <c r="N112" s="47"/>
      <c r="O112" s="47"/>
      <c r="P112" s="47"/>
      <c r="Q112" s="47"/>
      <c r="R112" s="47"/>
    </row>
    <row r="113" spans="1:18" x14ac:dyDescent="0.2">
      <c r="A113" s="47"/>
      <c r="B113" s="48"/>
      <c r="C113" s="76"/>
      <c r="D113" s="76"/>
      <c r="E113" s="76"/>
      <c r="F113" s="76"/>
      <c r="G113" s="76"/>
      <c r="H113" s="76"/>
      <c r="I113" s="76"/>
      <c r="J113" s="76"/>
      <c r="K113" s="43"/>
      <c r="M113" s="47"/>
      <c r="N113" s="47"/>
      <c r="O113" s="47"/>
      <c r="P113" s="47"/>
      <c r="Q113" s="47"/>
      <c r="R113" s="47"/>
    </row>
    <row r="114" spans="1:18" x14ac:dyDescent="0.2">
      <c r="A114" s="47"/>
      <c r="B114" s="48"/>
      <c r="C114" s="76"/>
      <c r="D114" s="76"/>
      <c r="E114" s="76"/>
      <c r="F114" s="76"/>
      <c r="G114" s="76"/>
      <c r="H114" s="76"/>
      <c r="I114" s="76"/>
      <c r="J114" s="76"/>
      <c r="K114" s="43"/>
      <c r="M114" s="47"/>
      <c r="N114" s="47"/>
      <c r="O114" s="47"/>
      <c r="P114" s="47"/>
      <c r="Q114" s="47"/>
      <c r="R114" s="47"/>
    </row>
    <row r="115" spans="1:18" x14ac:dyDescent="0.2">
      <c r="A115" s="47"/>
      <c r="B115" s="48"/>
      <c r="C115" s="68"/>
      <c r="D115" s="68"/>
      <c r="E115" s="68"/>
      <c r="F115" s="68"/>
      <c r="G115" s="68"/>
      <c r="H115" s="68"/>
      <c r="I115" s="68"/>
      <c r="J115" s="68"/>
      <c r="K115" s="43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50" t="s">
        <v>21</v>
      </c>
      <c r="C116" s="51"/>
      <c r="D116" s="51"/>
      <c r="E116" s="51"/>
      <c r="F116" s="51"/>
      <c r="G116" s="51"/>
      <c r="H116" s="51"/>
      <c r="I116" s="51"/>
      <c r="J116" s="51"/>
      <c r="K116" s="43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78" t="str">
        <f>+B43</f>
        <v>Proposed facility to acquire</v>
      </c>
      <c r="C117" s="54">
        <v>0</v>
      </c>
      <c r="D117" s="54">
        <v>0</v>
      </c>
      <c r="E117" s="54">
        <v>0</v>
      </c>
      <c r="F117" s="53">
        <v>300000</v>
      </c>
      <c r="G117" s="53">
        <v>310000</v>
      </c>
      <c r="H117" s="53">
        <v>320000</v>
      </c>
      <c r="I117" s="53">
        <v>330000</v>
      </c>
      <c r="J117" s="53">
        <v>340000</v>
      </c>
      <c r="K117" s="43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79"/>
      <c r="C118" s="80">
        <v>0</v>
      </c>
      <c r="D118" s="80">
        <v>0</v>
      </c>
      <c r="E118" s="80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43"/>
      <c r="M118" s="47"/>
      <c r="N118" s="47"/>
      <c r="O118" s="47"/>
      <c r="P118" s="47"/>
      <c r="Q118" s="47"/>
      <c r="R118" s="47"/>
    </row>
    <row r="119" spans="1:18" hidden="1" x14ac:dyDescent="0.2">
      <c r="A119" s="47"/>
      <c r="B119" s="79"/>
      <c r="C119" s="80">
        <v>0</v>
      </c>
      <c r="D119" s="80">
        <v>0</v>
      </c>
      <c r="E119" s="80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43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79"/>
      <c r="C120" s="80">
        <v>0</v>
      </c>
      <c r="D120" s="80">
        <v>0</v>
      </c>
      <c r="E120" s="80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43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B121" s="81">
        <f>+B51</f>
        <v>0</v>
      </c>
      <c r="C121" s="83">
        <v>0</v>
      </c>
      <c r="D121" s="83">
        <v>0</v>
      </c>
      <c r="E121" s="83">
        <v>0</v>
      </c>
      <c r="F121" s="82"/>
      <c r="G121" s="82"/>
      <c r="H121" s="82"/>
      <c r="I121" s="82"/>
      <c r="J121" s="82"/>
      <c r="K121" s="43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8" t="s">
        <v>22</v>
      </c>
      <c r="C122" s="75">
        <f t="shared" ref="C122:J122" si="46">SUM(C117:C121)</f>
        <v>0</v>
      </c>
      <c r="D122" s="75">
        <f t="shared" si="46"/>
        <v>0</v>
      </c>
      <c r="E122" s="75">
        <f t="shared" si="46"/>
        <v>0</v>
      </c>
      <c r="F122" s="75">
        <f t="shared" si="46"/>
        <v>300000</v>
      </c>
      <c r="G122" s="75">
        <f t="shared" si="46"/>
        <v>310000</v>
      </c>
      <c r="H122" s="75">
        <f t="shared" si="46"/>
        <v>320000</v>
      </c>
      <c r="I122" s="75">
        <f t="shared" si="46"/>
        <v>330000</v>
      </c>
      <c r="J122" s="75">
        <f t="shared" si="46"/>
        <v>340000</v>
      </c>
      <c r="K122" s="43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48" t="s">
        <v>23</v>
      </c>
      <c r="C123" s="164">
        <f t="shared" ref="C123:J123" si="47">IF(C43&gt;0,C122/C43/12,0)</f>
        <v>0</v>
      </c>
      <c r="D123" s="164">
        <f t="shared" si="47"/>
        <v>0</v>
      </c>
      <c r="E123" s="164">
        <f t="shared" si="47"/>
        <v>0</v>
      </c>
      <c r="F123" s="164">
        <f t="shared" si="47"/>
        <v>1</v>
      </c>
      <c r="G123" s="164">
        <f t="shared" si="47"/>
        <v>1.0333333333333334</v>
      </c>
      <c r="H123" s="164">
        <f t="shared" si="47"/>
        <v>1.0666666666666667</v>
      </c>
      <c r="I123" s="164">
        <f t="shared" si="47"/>
        <v>1.0999999999999999</v>
      </c>
      <c r="J123" s="164">
        <f t="shared" si="47"/>
        <v>1.1333333333333333</v>
      </c>
      <c r="K123" s="43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48"/>
      <c r="C124" s="75"/>
      <c r="D124" s="75"/>
      <c r="E124" s="75"/>
      <c r="F124" s="75"/>
      <c r="G124" s="75"/>
      <c r="H124" s="75"/>
      <c r="I124" s="75"/>
      <c r="J124" s="75"/>
      <c r="K124" s="43"/>
      <c r="M124" s="47"/>
      <c r="N124" s="47"/>
      <c r="O124" s="47"/>
      <c r="P124" s="47"/>
      <c r="Q124" s="47"/>
      <c r="R124" s="47"/>
    </row>
    <row r="125" spans="1:18" hidden="1" x14ac:dyDescent="0.2">
      <c r="A125" s="47"/>
      <c r="B125" s="50" t="s">
        <v>24</v>
      </c>
      <c r="C125" s="51"/>
      <c r="D125" s="51"/>
      <c r="E125" s="51"/>
      <c r="F125" s="51"/>
      <c r="G125" s="51"/>
      <c r="H125" s="51"/>
      <c r="I125" s="51"/>
      <c r="J125" s="51"/>
      <c r="K125" s="43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84" t="s">
        <v>25</v>
      </c>
      <c r="C126" s="154" t="e">
        <f>+#REF!*C24</f>
        <v>#REF!</v>
      </c>
      <c r="D126" s="154" t="e">
        <f>+#REF!*D24</f>
        <v>#REF!</v>
      </c>
      <c r="E126" s="154" t="e">
        <f>+#REF!*E24</f>
        <v>#REF!</v>
      </c>
      <c r="F126" s="154" t="e">
        <f>+#REF!*F24</f>
        <v>#REF!</v>
      </c>
      <c r="G126" s="154" t="e">
        <f>+#REF!*G24</f>
        <v>#REF!</v>
      </c>
      <c r="H126" s="154" t="e">
        <f>+#REF!*H24</f>
        <v>#REF!</v>
      </c>
      <c r="I126" s="154" t="e">
        <f>+#REF!*I24</f>
        <v>#REF!</v>
      </c>
      <c r="J126" s="154" t="e">
        <f>+#REF!*J24</f>
        <v>#REF!</v>
      </c>
      <c r="K126" s="43"/>
      <c r="M126" s="47"/>
      <c r="N126" s="47"/>
      <c r="O126" s="47"/>
      <c r="P126" s="47"/>
      <c r="Q126" s="47"/>
      <c r="R126" s="47"/>
    </row>
    <row r="127" spans="1:18" hidden="1" x14ac:dyDescent="0.2">
      <c r="B127" s="70" t="s">
        <v>26</v>
      </c>
      <c r="C127" s="162"/>
      <c r="D127" s="162"/>
      <c r="E127" s="163">
        <f t="shared" ref="E127:J127" si="48">IFERROR(E122/E24,0)</f>
        <v>0</v>
      </c>
      <c r="F127" s="163">
        <f t="shared" si="48"/>
        <v>3.2980997338763328E-2</v>
      </c>
      <c r="G127" s="163">
        <f t="shared" si="48"/>
        <v>3.2219454813565765E-2</v>
      </c>
      <c r="H127" s="163">
        <f t="shared" si="48"/>
        <v>3.1578097668293004E-2</v>
      </c>
      <c r="I127" s="163">
        <f t="shared" si="48"/>
        <v>3.0971226698023314E-2</v>
      </c>
      <c r="J127" s="163">
        <f t="shared" si="48"/>
        <v>3.0993500298358019E-2</v>
      </c>
      <c r="K127" s="43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48" t="s">
        <v>27</v>
      </c>
      <c r="C128" s="76"/>
      <c r="D128" s="76">
        <f t="shared" ref="D128:J128" si="49">IFERROR(D122/C122-1,0)</f>
        <v>0</v>
      </c>
      <c r="E128" s="76">
        <f t="shared" si="49"/>
        <v>0</v>
      </c>
      <c r="F128" s="76">
        <f t="shared" si="49"/>
        <v>0</v>
      </c>
      <c r="G128" s="76">
        <f t="shared" si="49"/>
        <v>3.3333333333333437E-2</v>
      </c>
      <c r="H128" s="76">
        <f t="shared" si="49"/>
        <v>3.2258064516129004E-2</v>
      </c>
      <c r="I128" s="76">
        <f t="shared" si="49"/>
        <v>3.125E-2</v>
      </c>
      <c r="J128" s="76">
        <f t="shared" si="49"/>
        <v>3.0303030303030276E-2</v>
      </c>
      <c r="K128" s="43"/>
      <c r="M128" s="47"/>
      <c r="N128" s="47"/>
      <c r="O128" s="47"/>
      <c r="P128" s="47"/>
      <c r="Q128" s="47"/>
      <c r="R128" s="47"/>
    </row>
    <row r="129" spans="1:18" hidden="1" x14ac:dyDescent="0.2">
      <c r="A129" s="47"/>
      <c r="K129" s="43"/>
      <c r="M129" s="47"/>
      <c r="N129" s="47"/>
      <c r="O129" s="47"/>
      <c r="P129" s="47"/>
      <c r="Q129" s="47"/>
      <c r="R129" s="47"/>
    </row>
    <row r="130" spans="1:18" hidden="1" x14ac:dyDescent="0.2">
      <c r="A130" s="47"/>
      <c r="B130" s="48" t="str">
        <f t="shared" ref="B130:J130" si="50">+B52</f>
        <v>Savings (Cost increase)/yr</v>
      </c>
      <c r="C130" s="85">
        <f t="shared" si="50"/>
        <v>0</v>
      </c>
      <c r="D130" s="85">
        <f t="shared" si="50"/>
        <v>0</v>
      </c>
      <c r="E130" s="85">
        <f t="shared" si="50"/>
        <v>0</v>
      </c>
      <c r="F130" s="85">
        <f t="shared" si="50"/>
        <v>0</v>
      </c>
      <c r="G130" s="85">
        <f t="shared" si="50"/>
        <v>603437.82000000007</v>
      </c>
      <c r="H130" s="85">
        <f t="shared" si="50"/>
        <v>593810.52</v>
      </c>
      <c r="I130" s="85">
        <f t="shared" si="50"/>
        <v>592780.93999999994</v>
      </c>
      <c r="J130" s="85">
        <f t="shared" si="50"/>
        <v>596349.62000000011</v>
      </c>
      <c r="K130" s="43"/>
      <c r="M130" s="47"/>
      <c r="N130" s="47"/>
      <c r="O130" s="47"/>
      <c r="P130" s="47"/>
      <c r="Q130" s="47"/>
      <c r="R130" s="47"/>
    </row>
    <row r="131" spans="1:18" hidden="1" x14ac:dyDescent="0.2">
      <c r="A131" s="47"/>
      <c r="B131" s="48" t="str">
        <f>+B122</f>
        <v>Total Acquisition Payments</v>
      </c>
      <c r="C131" s="48">
        <f t="shared" ref="C131:J131" si="51">+C122</f>
        <v>0</v>
      </c>
      <c r="D131" s="48">
        <f t="shared" si="51"/>
        <v>0</v>
      </c>
      <c r="E131" s="48">
        <f t="shared" si="51"/>
        <v>0</v>
      </c>
      <c r="F131" s="48">
        <f t="shared" si="51"/>
        <v>300000</v>
      </c>
      <c r="G131" s="48">
        <f t="shared" si="51"/>
        <v>310000</v>
      </c>
      <c r="H131" s="48">
        <f t="shared" si="51"/>
        <v>320000</v>
      </c>
      <c r="I131" s="48">
        <f t="shared" si="51"/>
        <v>330000</v>
      </c>
      <c r="J131" s="48">
        <f t="shared" si="51"/>
        <v>340000</v>
      </c>
      <c r="K131" s="43"/>
      <c r="M131" s="47"/>
      <c r="N131" s="47"/>
      <c r="O131" s="47"/>
      <c r="P131" s="47"/>
      <c r="Q131" s="47"/>
      <c r="R131" s="47"/>
    </row>
    <row r="132" spans="1:18" hidden="1" x14ac:dyDescent="0.2">
      <c r="A132" s="47"/>
      <c r="B132" s="57" t="s">
        <v>28</v>
      </c>
      <c r="C132" s="161">
        <f>IF(C131&gt;0,C130-C131,0)</f>
        <v>0</v>
      </c>
      <c r="D132" s="161">
        <f t="shared" ref="D132:J132" si="52">IF(D131&gt;0,D130-D131,0)</f>
        <v>0</v>
      </c>
      <c r="E132" s="161">
        <f t="shared" si="52"/>
        <v>0</v>
      </c>
      <c r="F132" s="161">
        <f t="shared" si="52"/>
        <v>-300000</v>
      </c>
      <c r="G132" s="161">
        <f t="shared" si="52"/>
        <v>293437.82000000007</v>
      </c>
      <c r="H132" s="161">
        <f t="shared" si="52"/>
        <v>273810.52</v>
      </c>
      <c r="I132" s="161">
        <f t="shared" si="52"/>
        <v>262780.93999999994</v>
      </c>
      <c r="J132" s="161">
        <f t="shared" si="52"/>
        <v>256349.62000000011</v>
      </c>
      <c r="K132" s="43"/>
      <c r="M132" s="47"/>
      <c r="N132" s="47"/>
      <c r="O132" s="47"/>
      <c r="P132" s="47"/>
      <c r="Q132" s="47"/>
      <c r="R132" s="47"/>
    </row>
    <row r="133" spans="1:18" hidden="1" x14ac:dyDescent="0.2">
      <c r="A133" s="47"/>
      <c r="B133" s="48"/>
      <c r="C133" s="77"/>
      <c r="D133" s="77"/>
      <c r="E133" s="77"/>
      <c r="F133" s="160"/>
      <c r="G133" s="77"/>
      <c r="H133" s="77"/>
      <c r="I133" s="77"/>
      <c r="J133" s="77"/>
      <c r="K133" s="43"/>
      <c r="M133" s="47"/>
      <c r="N133" s="47"/>
      <c r="O133" s="47"/>
      <c r="P133" s="47"/>
      <c r="Q133" s="47"/>
      <c r="R133" s="47"/>
    </row>
    <row r="134" spans="1:18" hidden="1" x14ac:dyDescent="0.2">
      <c r="A134" s="47"/>
      <c r="B134" s="48" t="s">
        <v>29</v>
      </c>
      <c r="C134" s="48"/>
      <c r="D134" s="48"/>
      <c r="E134" s="85">
        <f t="shared" ref="E134:J134" si="53">+E36-E52</f>
        <v>7811753.0644773385</v>
      </c>
      <c r="F134" s="85">
        <f t="shared" si="53"/>
        <v>8709053.9399999995</v>
      </c>
      <c r="G134" s="85">
        <f t="shared" si="53"/>
        <v>8601453.6107041277</v>
      </c>
      <c r="H134" s="85">
        <f t="shared" si="53"/>
        <v>9114838.3900000006</v>
      </c>
      <c r="I134" s="85">
        <f t="shared" si="53"/>
        <v>9628813.7300000004</v>
      </c>
      <c r="J134" s="85">
        <f t="shared" si="53"/>
        <v>9931566.9299999997</v>
      </c>
      <c r="K134" s="43"/>
      <c r="M134" s="47"/>
      <c r="N134" s="47"/>
      <c r="O134" s="47"/>
      <c r="P134" s="47"/>
      <c r="Q134" s="47"/>
      <c r="R134" s="47"/>
    </row>
    <row r="135" spans="1:18" hidden="1" x14ac:dyDescent="0.2">
      <c r="A135" s="47"/>
      <c r="B135" s="48" t="s">
        <v>30</v>
      </c>
      <c r="C135" s="48"/>
      <c r="D135" s="48"/>
      <c r="E135" s="48">
        <f t="shared" ref="E135:J135" si="54">+E36-E122</f>
        <v>7811753.0644773385</v>
      </c>
      <c r="F135" s="48">
        <f t="shared" si="54"/>
        <v>8409053.9399999995</v>
      </c>
      <c r="G135" s="48">
        <f t="shared" si="54"/>
        <v>8894891.430704128</v>
      </c>
      <c r="H135" s="48">
        <f t="shared" si="54"/>
        <v>9388648.9100000001</v>
      </c>
      <c r="I135" s="48">
        <f t="shared" si="54"/>
        <v>9891594.6699999999</v>
      </c>
      <c r="J135" s="48">
        <f t="shared" si="54"/>
        <v>10187916.550000001</v>
      </c>
      <c r="K135" s="43"/>
      <c r="M135" s="47"/>
      <c r="N135" s="47"/>
      <c r="O135" s="47"/>
      <c r="P135" s="47"/>
      <c r="Q135" s="47"/>
      <c r="R135" s="47"/>
    </row>
    <row r="136" spans="1:18" hidden="1" x14ac:dyDescent="0.2">
      <c r="A136" s="47"/>
      <c r="B136" s="57" t="s">
        <v>31</v>
      </c>
      <c r="C136" s="57"/>
      <c r="D136" s="57"/>
      <c r="E136" s="86">
        <f>+E135-E134</f>
        <v>0</v>
      </c>
      <c r="F136" s="86">
        <f t="shared" ref="F136:J136" si="55">+F135-F134</f>
        <v>-300000</v>
      </c>
      <c r="G136" s="86">
        <f t="shared" si="55"/>
        <v>293437.8200000003</v>
      </c>
      <c r="H136" s="86">
        <f t="shared" si="55"/>
        <v>273810.51999999955</v>
      </c>
      <c r="I136" s="86">
        <f t="shared" si="55"/>
        <v>262780.93999999948</v>
      </c>
      <c r="J136" s="86">
        <f t="shared" si="55"/>
        <v>256349.62000000104</v>
      </c>
      <c r="K136" s="43"/>
      <c r="M136" s="47"/>
      <c r="N136" s="47"/>
      <c r="O136" s="47"/>
      <c r="P136" s="47"/>
      <c r="Q136" s="47"/>
      <c r="R136" s="47"/>
    </row>
    <row r="137" spans="1:18" hidden="1" x14ac:dyDescent="0.2">
      <c r="A137" s="47"/>
      <c r="B137" s="70" t="s">
        <v>32</v>
      </c>
      <c r="C137" s="87">
        <f t="shared" ref="C137:J137" si="56">IFERROR(C136/C49,0)</f>
        <v>0</v>
      </c>
      <c r="D137" s="87">
        <f t="shared" si="56"/>
        <v>0</v>
      </c>
      <c r="E137" s="87">
        <f t="shared" si="56"/>
        <v>0</v>
      </c>
      <c r="F137" s="87">
        <f t="shared" si="56"/>
        <v>-0.25626494761406315</v>
      </c>
      <c r="G137" s="87">
        <f t="shared" si="56"/>
        <v>0.256627701889378</v>
      </c>
      <c r="H137" s="87">
        <f t="shared" si="56"/>
        <v>0.24149583653536708</v>
      </c>
      <c r="I137" s="87">
        <f t="shared" si="56"/>
        <v>0.23197860302981393</v>
      </c>
      <c r="J137" s="87">
        <f t="shared" si="56"/>
        <v>0.22559044812282422</v>
      </c>
      <c r="K137" s="48"/>
      <c r="L137" s="47"/>
      <c r="M137" s="47"/>
      <c r="N137" s="47"/>
      <c r="O137" s="47"/>
      <c r="P137" s="47"/>
      <c r="Q137" s="47"/>
      <c r="R137" s="47"/>
    </row>
    <row r="138" spans="1:18" hidden="1" x14ac:dyDescent="0.2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7"/>
      <c r="M138" s="47"/>
      <c r="N138" s="47"/>
      <c r="O138" s="47"/>
      <c r="P138" s="47"/>
      <c r="Q138" s="47"/>
      <c r="R138" s="47"/>
    </row>
    <row r="139" spans="1:18" hidden="1" x14ac:dyDescent="0.2">
      <c r="A139" s="47"/>
      <c r="B139" s="48" t="s">
        <v>29</v>
      </c>
      <c r="C139" s="48"/>
      <c r="D139" s="48"/>
      <c r="E139" s="88">
        <f t="shared" ref="E139:J139" si="57">+E134</f>
        <v>7811753.0644773385</v>
      </c>
      <c r="F139" s="85">
        <f t="shared" si="57"/>
        <v>8709053.9399999995</v>
      </c>
      <c r="G139" s="85">
        <f t="shared" si="57"/>
        <v>8601453.6107041277</v>
      </c>
      <c r="H139" s="85">
        <f t="shared" si="57"/>
        <v>9114838.3900000006</v>
      </c>
      <c r="I139" s="85">
        <f t="shared" si="57"/>
        <v>9628813.7300000004</v>
      </c>
      <c r="J139" s="85">
        <f t="shared" si="57"/>
        <v>9931566.9299999997</v>
      </c>
      <c r="K139" s="48"/>
      <c r="L139" s="47"/>
      <c r="M139" s="47"/>
      <c r="N139" s="47"/>
      <c r="O139" s="47"/>
      <c r="P139" s="47"/>
      <c r="Q139" s="47"/>
      <c r="R139" s="47"/>
    </row>
    <row r="140" spans="1:18" hidden="1" x14ac:dyDescent="0.2">
      <c r="A140" s="47"/>
      <c r="B140" s="48" t="s">
        <v>33</v>
      </c>
      <c r="C140" s="48"/>
      <c r="D140" s="48"/>
      <c r="E140" s="89" t="e">
        <f t="shared" ref="E140:J140" si="58">+E36-E122-E126</f>
        <v>#REF!</v>
      </c>
      <c r="F140" s="89" t="e">
        <f t="shared" si="58"/>
        <v>#REF!</v>
      </c>
      <c r="G140" s="89" t="e">
        <f t="shared" si="58"/>
        <v>#REF!</v>
      </c>
      <c r="H140" s="89" t="e">
        <f t="shared" si="58"/>
        <v>#REF!</v>
      </c>
      <c r="I140" s="89" t="e">
        <f t="shared" si="58"/>
        <v>#REF!</v>
      </c>
      <c r="J140" s="89" t="e">
        <f t="shared" si="58"/>
        <v>#REF!</v>
      </c>
      <c r="K140" s="47"/>
      <c r="L140" s="47"/>
      <c r="M140" s="47"/>
      <c r="N140" s="47"/>
      <c r="O140" s="47"/>
      <c r="P140" s="47"/>
      <c r="Q140" s="47"/>
      <c r="R140" s="47"/>
    </row>
    <row r="141" spans="1:18" hidden="1" x14ac:dyDescent="0.2">
      <c r="A141" s="47"/>
      <c r="B141" s="57" t="s">
        <v>31</v>
      </c>
      <c r="C141" s="57"/>
      <c r="D141" s="57"/>
      <c r="E141" s="86" t="e">
        <f>+E140-E139</f>
        <v>#REF!</v>
      </c>
      <c r="F141" s="86" t="e">
        <f t="shared" ref="F141:J141" si="59">+F140-F139</f>
        <v>#REF!</v>
      </c>
      <c r="G141" s="86" t="e">
        <f t="shared" si="59"/>
        <v>#REF!</v>
      </c>
      <c r="H141" s="86" t="e">
        <f t="shared" si="59"/>
        <v>#REF!</v>
      </c>
      <c r="I141" s="86" t="e">
        <f t="shared" si="59"/>
        <v>#REF!</v>
      </c>
      <c r="J141" s="86" t="e">
        <f t="shared" si="59"/>
        <v>#REF!</v>
      </c>
      <c r="K141" s="47"/>
      <c r="L141" s="47"/>
      <c r="M141" s="47"/>
      <c r="N141" s="47"/>
      <c r="O141" s="47"/>
      <c r="P141" s="47"/>
      <c r="Q141" s="47"/>
      <c r="R141" s="47"/>
    </row>
    <row r="142" spans="1:18" hidden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hidden="1" x14ac:dyDescent="0.2">
      <c r="A143" s="47"/>
      <c r="B143" s="153" t="s">
        <v>34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</sheetData>
  <mergeCells count="79">
    <mergeCell ref="L47:R47"/>
    <mergeCell ref="L42:R42"/>
    <mergeCell ref="L43:R43"/>
    <mergeCell ref="L44:R44"/>
    <mergeCell ref="L45:R45"/>
    <mergeCell ref="L46:R46"/>
    <mergeCell ref="L59:R59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57:R57"/>
    <mergeCell ref="L58:R58"/>
    <mergeCell ref="L71:R71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69:R69"/>
    <mergeCell ref="L70:R70"/>
    <mergeCell ref="L83:R83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1:R81"/>
    <mergeCell ref="L82:R82"/>
    <mergeCell ref="L90:R90"/>
    <mergeCell ref="L91:R91"/>
    <mergeCell ref="L92:R92"/>
    <mergeCell ref="L12:R12"/>
    <mergeCell ref="L13:R13"/>
    <mergeCell ref="L14:R14"/>
    <mergeCell ref="L15:R15"/>
    <mergeCell ref="L16:R16"/>
    <mergeCell ref="L17:R17"/>
    <mergeCell ref="L18:R18"/>
    <mergeCell ref="L84:R84"/>
    <mergeCell ref="L85:R85"/>
    <mergeCell ref="L86:R86"/>
    <mergeCell ref="L87:R87"/>
    <mergeCell ref="L88:R88"/>
    <mergeCell ref="L89:R89"/>
    <mergeCell ref="L32:R32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9:R39"/>
    <mergeCell ref="L40:R40"/>
    <mergeCell ref="L41:R41"/>
    <mergeCell ref="L33:R33"/>
    <mergeCell ref="L34:R34"/>
    <mergeCell ref="L35:R35"/>
    <mergeCell ref="L36:R36"/>
    <mergeCell ref="L37:R37"/>
    <mergeCell ref="L38:R38"/>
  </mergeCells>
  <phoneticPr fontId="4" type="noConversion"/>
  <hyperlinks>
    <hyperlink ref="E155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2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30F2-DB8B-451F-9570-4A1E81C03D85}">
  <dimension ref="A1:I37"/>
  <sheetViews>
    <sheetView workbookViewId="0">
      <selection activeCell="B40" sqref="B40"/>
    </sheetView>
  </sheetViews>
  <sheetFormatPr defaultRowHeight="12.75" x14ac:dyDescent="0.2"/>
  <cols>
    <col min="1" max="1" width="15.85546875" bestFit="1" customWidth="1"/>
    <col min="2" max="2" width="23.7109375" bestFit="1" customWidth="1"/>
    <col min="3" max="6" width="13.140625" bestFit="1" customWidth="1"/>
    <col min="7" max="9" width="14.140625" bestFit="1" customWidth="1"/>
  </cols>
  <sheetData>
    <row r="1" spans="1:9" x14ac:dyDescent="0.2">
      <c r="C1">
        <v>2022</v>
      </c>
      <c r="D1">
        <v>2023</v>
      </c>
      <c r="E1">
        <v>2024</v>
      </c>
      <c r="F1">
        <v>2025</v>
      </c>
      <c r="G1">
        <v>2026</v>
      </c>
      <c r="H1">
        <v>2027</v>
      </c>
      <c r="I1">
        <v>2028</v>
      </c>
    </row>
    <row r="2" spans="1:9" x14ac:dyDescent="0.2">
      <c r="C2">
        <v>0</v>
      </c>
      <c r="D2">
        <f>380980+4232134</f>
        <v>4613114</v>
      </c>
      <c r="E2">
        <f>441987.12+3928313</f>
        <v>4370300.12</v>
      </c>
      <c r="F2">
        <f>453651.2+4526002</f>
        <v>4979653.2</v>
      </c>
      <c r="G2">
        <f>4645492+465368.28</f>
        <v>5110860.28</v>
      </c>
      <c r="H2">
        <f>477140.42+4764893</f>
        <v>5242033.42</v>
      </c>
      <c r="I2">
        <f>488966.71+4884473</f>
        <v>5373439.71</v>
      </c>
    </row>
    <row r="4" spans="1:9" x14ac:dyDescent="0.2">
      <c r="A4" t="s">
        <v>199</v>
      </c>
      <c r="B4" t="s">
        <v>198</v>
      </c>
      <c r="C4" s="253">
        <v>4146766</v>
      </c>
      <c r="D4" s="253">
        <v>5114282</v>
      </c>
      <c r="E4" s="253">
        <v>5307209</v>
      </c>
      <c r="F4" s="253">
        <v>6113967</v>
      </c>
      <c r="G4" s="253">
        <v>6338948</v>
      </c>
      <c r="H4" s="253">
        <v>6502354</v>
      </c>
      <c r="I4" s="253">
        <v>6665761</v>
      </c>
    </row>
    <row r="5" spans="1:9" x14ac:dyDescent="0.2">
      <c r="C5" s="253"/>
      <c r="D5" s="253"/>
      <c r="E5" s="253"/>
      <c r="F5" s="253"/>
      <c r="G5" s="253"/>
      <c r="H5" s="253"/>
      <c r="I5" s="253"/>
    </row>
    <row r="6" spans="1:9" s="261" customFormat="1" x14ac:dyDescent="0.2">
      <c r="A6" s="261" t="s">
        <v>197</v>
      </c>
      <c r="B6" s="261" t="s">
        <v>198</v>
      </c>
      <c r="C6" s="262">
        <v>2976213.4003258669</v>
      </c>
      <c r="D6" s="262">
        <v>4232134</v>
      </c>
      <c r="E6" s="262">
        <v>3928313</v>
      </c>
      <c r="F6" s="262">
        <v>4526002</v>
      </c>
      <c r="G6" s="262">
        <v>4645492</v>
      </c>
      <c r="H6" s="262">
        <v>4764893</v>
      </c>
      <c r="I6" s="262">
        <v>4884473</v>
      </c>
    </row>
    <row r="7" spans="1:9" s="263" customFormat="1" x14ac:dyDescent="0.2">
      <c r="A7" s="263">
        <v>600</v>
      </c>
      <c r="B7" s="263" t="s">
        <v>198</v>
      </c>
      <c r="C7" s="264">
        <v>89518.16051999999</v>
      </c>
      <c r="D7" s="264">
        <v>54584.55820840146</v>
      </c>
      <c r="E7" s="264">
        <v>133418.38376806912</v>
      </c>
      <c r="F7" s="264">
        <v>137166.0065962653</v>
      </c>
      <c r="G7" s="264">
        <v>140913.62942446151</v>
      </c>
      <c r="H7" s="264">
        <v>144661.25225265766</v>
      </c>
      <c r="I7" s="264">
        <v>148408.87508085388</v>
      </c>
    </row>
    <row r="8" spans="1:9" s="265" customFormat="1" x14ac:dyDescent="0.2">
      <c r="A8" s="265" t="s">
        <v>200</v>
      </c>
      <c r="B8" s="265" t="s">
        <v>198</v>
      </c>
      <c r="C8" s="266">
        <f>C4-C6-C7</f>
        <v>1081034.4391541332</v>
      </c>
      <c r="D8" s="266">
        <f>D4-D6-D7</f>
        <v>827563.44179159857</v>
      </c>
      <c r="E8" s="266">
        <f t="shared" ref="E8:I8" si="0">E4-E6-E7</f>
        <v>1245477.6162319309</v>
      </c>
      <c r="F8" s="266">
        <f t="shared" si="0"/>
        <v>1450798.9934037346</v>
      </c>
      <c r="G8" s="266">
        <f t="shared" si="0"/>
        <v>1552542.3705755384</v>
      </c>
      <c r="H8" s="266">
        <f t="shared" si="0"/>
        <v>1592799.7477473423</v>
      </c>
      <c r="I8" s="266">
        <f t="shared" si="0"/>
        <v>1632879.1249191461</v>
      </c>
    </row>
    <row r="9" spans="1:9" s="255" customFormat="1" x14ac:dyDescent="0.2">
      <c r="C9" s="256"/>
      <c r="D9" s="256"/>
      <c r="E9" s="256"/>
      <c r="F9" s="256"/>
      <c r="G9" s="256"/>
      <c r="H9" s="256"/>
      <c r="I9" s="256"/>
    </row>
    <row r="10" spans="1:9" s="257" customFormat="1" ht="13.5" thickBot="1" x14ac:dyDescent="0.25">
      <c r="C10" s="258">
        <f>SUM(C6:C9)</f>
        <v>4146766</v>
      </c>
      <c r="D10" s="258">
        <f>SUM(D6:D9)</f>
        <v>5114282</v>
      </c>
      <c r="E10" s="258">
        <f t="shared" ref="E10:I10" si="1">SUM(E6:E9)</f>
        <v>5307209</v>
      </c>
      <c r="F10" s="258">
        <f t="shared" si="1"/>
        <v>6113967</v>
      </c>
      <c r="G10" s="258">
        <f t="shared" si="1"/>
        <v>6338948</v>
      </c>
      <c r="H10" s="258">
        <f t="shared" si="1"/>
        <v>6502354</v>
      </c>
      <c r="I10" s="258">
        <f t="shared" si="1"/>
        <v>6665761</v>
      </c>
    </row>
    <row r="11" spans="1:9" s="255" customFormat="1" ht="13.5" thickTop="1" x14ac:dyDescent="0.2">
      <c r="C11" s="256"/>
      <c r="D11" s="256"/>
      <c r="E11" s="256"/>
      <c r="F11" s="256"/>
      <c r="G11" s="256"/>
      <c r="H11" s="256"/>
      <c r="I11" s="256"/>
    </row>
    <row r="12" spans="1:9" s="255" customFormat="1" x14ac:dyDescent="0.2">
      <c r="C12" s="256"/>
      <c r="D12" s="256"/>
      <c r="E12" s="256"/>
      <c r="F12" s="256"/>
      <c r="G12" s="256"/>
      <c r="H12" s="256"/>
      <c r="I12" s="256"/>
    </row>
    <row r="13" spans="1:9" s="261" customFormat="1" x14ac:dyDescent="0.2">
      <c r="A13" s="261">
        <v>1000</v>
      </c>
      <c r="B13" s="261" t="s">
        <v>203</v>
      </c>
      <c r="C13" s="262">
        <v>536616</v>
      </c>
      <c r="D13" s="262">
        <v>380570</v>
      </c>
      <c r="E13" s="262">
        <v>441570</v>
      </c>
      <c r="F13" s="262">
        <v>453225</v>
      </c>
      <c r="G13" s="262">
        <v>464933</v>
      </c>
      <c r="H13" s="262">
        <v>476696</v>
      </c>
      <c r="I13" s="262">
        <v>488514</v>
      </c>
    </row>
    <row r="14" spans="1:9" s="265" customFormat="1" x14ac:dyDescent="0.2">
      <c r="A14" s="265">
        <v>2100</v>
      </c>
      <c r="C14" s="267">
        <v>41950</v>
      </c>
      <c r="D14" s="267">
        <v>68825</v>
      </c>
      <c r="E14" s="267">
        <v>70201</v>
      </c>
      <c r="F14" s="267">
        <v>71605</v>
      </c>
      <c r="G14" s="267">
        <v>73037</v>
      </c>
      <c r="H14" s="267">
        <v>74498</v>
      </c>
      <c r="I14" s="267">
        <v>75989</v>
      </c>
    </row>
    <row r="15" spans="1:9" s="265" customFormat="1" x14ac:dyDescent="0.2">
      <c r="A15" s="265">
        <v>2200</v>
      </c>
      <c r="C15" s="267">
        <v>58270</v>
      </c>
      <c r="D15" s="267">
        <v>127522</v>
      </c>
      <c r="E15" s="267">
        <v>37142</v>
      </c>
      <c r="F15" s="267">
        <v>37884</v>
      </c>
      <c r="G15" s="267">
        <v>38643</v>
      </c>
      <c r="H15" s="267">
        <v>39416</v>
      </c>
      <c r="I15" s="267">
        <v>40204</v>
      </c>
    </row>
    <row r="16" spans="1:9" s="265" customFormat="1" x14ac:dyDescent="0.2">
      <c r="A16" s="265">
        <v>2300</v>
      </c>
      <c r="C16" s="267">
        <v>88327</v>
      </c>
      <c r="D16" s="267">
        <v>93433</v>
      </c>
      <c r="E16" s="267">
        <v>101932</v>
      </c>
      <c r="F16" s="267">
        <v>103970</v>
      </c>
      <c r="G16" s="267">
        <v>106051</v>
      </c>
      <c r="H16" s="267">
        <v>108172</v>
      </c>
      <c r="I16" s="267">
        <v>110333</v>
      </c>
    </row>
    <row r="17" spans="1:9" s="265" customFormat="1" x14ac:dyDescent="0.2">
      <c r="A17" s="265">
        <v>2400</v>
      </c>
      <c r="C17" s="267">
        <v>1447</v>
      </c>
      <c r="D17" s="267">
        <v>5850</v>
      </c>
      <c r="E17" s="267">
        <v>5967</v>
      </c>
      <c r="F17" s="267">
        <v>6086</v>
      </c>
      <c r="G17" s="267">
        <v>6208</v>
      </c>
      <c r="H17" s="267">
        <v>6332</v>
      </c>
      <c r="I17" s="267">
        <v>6459</v>
      </c>
    </row>
    <row r="18" spans="1:9" s="265" customFormat="1" x14ac:dyDescent="0.2">
      <c r="A18" s="265">
        <v>2500</v>
      </c>
      <c r="C18" s="267">
        <v>293327</v>
      </c>
      <c r="D18" s="267">
        <v>244325</v>
      </c>
      <c r="E18" s="267">
        <v>249213</v>
      </c>
      <c r="F18" s="267">
        <v>254195</v>
      </c>
      <c r="G18" s="267">
        <v>259280</v>
      </c>
      <c r="H18" s="267">
        <v>264466</v>
      </c>
      <c r="I18" s="267">
        <v>269755</v>
      </c>
    </row>
    <row r="19" spans="1:9" s="265" customFormat="1" x14ac:dyDescent="0.2">
      <c r="A19" s="265">
        <v>2600</v>
      </c>
      <c r="C19" s="267">
        <v>400226</v>
      </c>
      <c r="D19" s="267">
        <v>430580</v>
      </c>
      <c r="E19" s="267">
        <v>387093</v>
      </c>
      <c r="F19" s="267">
        <v>405729</v>
      </c>
      <c r="G19" s="267">
        <v>413845</v>
      </c>
      <c r="H19" s="267">
        <v>422124</v>
      </c>
      <c r="I19" s="267">
        <v>430563</v>
      </c>
    </row>
    <row r="20" spans="1:9" s="265" customFormat="1" x14ac:dyDescent="0.2">
      <c r="A20" s="265">
        <v>2700</v>
      </c>
      <c r="C20" s="267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</row>
    <row r="21" spans="1:9" s="265" customFormat="1" x14ac:dyDescent="0.2">
      <c r="A21" s="265">
        <v>3100</v>
      </c>
      <c r="C21" s="267">
        <v>0</v>
      </c>
      <c r="D21" s="267"/>
      <c r="E21" s="267"/>
      <c r="F21" s="267"/>
      <c r="G21" s="267"/>
      <c r="H21" s="267"/>
      <c r="I21" s="267"/>
    </row>
    <row r="22" spans="1:9" s="263" customFormat="1" x14ac:dyDescent="0.2">
      <c r="A22" s="263">
        <v>3200</v>
      </c>
      <c r="C22" s="264">
        <v>6769</v>
      </c>
      <c r="D22" s="264">
        <v>7907</v>
      </c>
      <c r="E22" s="264">
        <v>8065</v>
      </c>
      <c r="F22" s="264">
        <v>8226</v>
      </c>
      <c r="G22" s="264">
        <v>8391</v>
      </c>
      <c r="H22" s="264">
        <v>8559</v>
      </c>
      <c r="I22" s="264">
        <v>8730</v>
      </c>
    </row>
    <row r="23" spans="1:9" s="263" customFormat="1" x14ac:dyDescent="0.2">
      <c r="A23" s="263" t="s">
        <v>204</v>
      </c>
      <c r="C23" s="264">
        <v>1197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</row>
    <row r="24" spans="1:9" s="263" customFormat="1" x14ac:dyDescent="0.2">
      <c r="A24" s="263">
        <v>5000</v>
      </c>
      <c r="C24" s="264">
        <v>892589</v>
      </c>
      <c r="D24" s="264">
        <v>1085502</v>
      </c>
      <c r="E24" s="264">
        <v>1170663</v>
      </c>
      <c r="F24" s="264">
        <v>1683437</v>
      </c>
      <c r="G24" s="264">
        <v>1673810</v>
      </c>
      <c r="H24" s="264">
        <v>1672780</v>
      </c>
      <c r="I24" s="264">
        <v>1676349</v>
      </c>
    </row>
    <row r="25" spans="1:9" s="263" customFormat="1" x14ac:dyDescent="0.2">
      <c r="A25" s="263">
        <v>6000</v>
      </c>
      <c r="B25" s="263" t="s">
        <v>205</v>
      </c>
      <c r="C25" s="264">
        <v>644000</v>
      </c>
      <c r="D25" s="264">
        <v>625000</v>
      </c>
      <c r="E25" s="264">
        <v>629500</v>
      </c>
      <c r="F25" s="264">
        <v>634090</v>
      </c>
      <c r="G25" s="264">
        <v>638772</v>
      </c>
      <c r="H25" s="264">
        <v>643547</v>
      </c>
      <c r="I25" s="264">
        <v>648418</v>
      </c>
    </row>
    <row r="26" spans="1:9" s="263" customFormat="1" x14ac:dyDescent="0.2">
      <c r="A26" s="263">
        <v>6200</v>
      </c>
      <c r="C26" s="264">
        <v>1330152</v>
      </c>
      <c r="D26" s="264"/>
      <c r="E26" s="264"/>
      <c r="F26" s="264"/>
      <c r="G26" s="264"/>
      <c r="H26" s="264"/>
      <c r="I26" s="264"/>
    </row>
    <row r="27" spans="1:9" x14ac:dyDescent="0.2">
      <c r="C27" s="253"/>
    </row>
    <row r="28" spans="1:9" s="259" customFormat="1" ht="13.5" thickBot="1" x14ac:dyDescent="0.25">
      <c r="C28" s="260">
        <f>SUM(C13:C27)</f>
        <v>4294870</v>
      </c>
      <c r="D28" s="260">
        <f>SUM(D13:D27)</f>
        <v>3069514</v>
      </c>
      <c r="E28" s="260">
        <f t="shared" ref="E28:I28" si="2">SUM(E13:E27)</f>
        <v>3101346</v>
      </c>
      <c r="F28" s="260">
        <f t="shared" si="2"/>
        <v>3658447</v>
      </c>
      <c r="G28" s="260">
        <f t="shared" si="2"/>
        <v>3682970</v>
      </c>
      <c r="H28" s="260">
        <f t="shared" si="2"/>
        <v>3716590</v>
      </c>
      <c r="I28" s="260">
        <f t="shared" si="2"/>
        <v>3755314</v>
      </c>
    </row>
    <row r="29" spans="1:9" ht="13.5" thickTop="1" x14ac:dyDescent="0.2">
      <c r="C29" s="253"/>
    </row>
    <row r="30" spans="1:9" x14ac:dyDescent="0.2">
      <c r="C30" s="254">
        <f>+C28+C10</f>
        <v>8441636</v>
      </c>
      <c r="D30" s="254">
        <f>+D28+D10</f>
        <v>8183796</v>
      </c>
      <c r="E30" s="254">
        <f t="shared" ref="E30:I30" si="3">+E28+E10</f>
        <v>8408555</v>
      </c>
      <c r="F30" s="254">
        <f t="shared" si="3"/>
        <v>9772414</v>
      </c>
      <c r="G30" s="254">
        <f t="shared" si="3"/>
        <v>10021918</v>
      </c>
      <c r="H30" s="254">
        <f t="shared" si="3"/>
        <v>10218944</v>
      </c>
      <c r="I30" s="254">
        <f t="shared" si="3"/>
        <v>10421075</v>
      </c>
    </row>
    <row r="31" spans="1:9" x14ac:dyDescent="0.2">
      <c r="C31" s="253"/>
    </row>
    <row r="32" spans="1:9" x14ac:dyDescent="0.2">
      <c r="C32" s="253">
        <v>8441636</v>
      </c>
      <c r="D32" s="253">
        <v>8183796</v>
      </c>
      <c r="E32" s="253">
        <v>8408555</v>
      </c>
      <c r="F32" s="253">
        <v>9772414</v>
      </c>
      <c r="G32" s="253">
        <v>10021918</v>
      </c>
      <c r="H32" s="253">
        <v>10218944</v>
      </c>
      <c r="I32" s="253">
        <v>10421075</v>
      </c>
    </row>
    <row r="33" spans="1:9" x14ac:dyDescent="0.2">
      <c r="C33" s="254">
        <f>C32-C30</f>
        <v>0</v>
      </c>
      <c r="D33" s="254">
        <f>D32-D30</f>
        <v>0</v>
      </c>
      <c r="E33" s="254">
        <f t="shared" ref="E33:I33" si="4">E32-E30</f>
        <v>0</v>
      </c>
      <c r="F33" s="254">
        <f t="shared" si="4"/>
        <v>0</v>
      </c>
      <c r="G33" s="254">
        <f t="shared" si="4"/>
        <v>0</v>
      </c>
      <c r="H33" s="254">
        <f t="shared" si="4"/>
        <v>0</v>
      </c>
      <c r="I33" s="254">
        <f t="shared" si="4"/>
        <v>0</v>
      </c>
    </row>
    <row r="34" spans="1:9" x14ac:dyDescent="0.2">
      <c r="C34" s="253"/>
    </row>
    <row r="35" spans="1:9" x14ac:dyDescent="0.2">
      <c r="A35" t="s">
        <v>14</v>
      </c>
      <c r="C35" s="254">
        <f>+C6+C13</f>
        <v>3512829.4003258669</v>
      </c>
      <c r="D35" s="254">
        <f>+D6+D13</f>
        <v>4612704</v>
      </c>
      <c r="E35" s="254">
        <f t="shared" ref="E35:I35" si="5">+E6+E13</f>
        <v>4369883</v>
      </c>
      <c r="F35" s="254">
        <f t="shared" si="5"/>
        <v>4979227</v>
      </c>
      <c r="G35" s="254">
        <f t="shared" si="5"/>
        <v>5110425</v>
      </c>
      <c r="H35" s="254">
        <f t="shared" si="5"/>
        <v>5241589</v>
      </c>
      <c r="I35" s="254">
        <f t="shared" si="5"/>
        <v>5372987</v>
      </c>
    </row>
    <row r="36" spans="1:9" x14ac:dyDescent="0.2">
      <c r="A36" t="s">
        <v>15</v>
      </c>
      <c r="C36" s="254">
        <f>+C8+C14+C15+C16+C17+C18+C19+C20</f>
        <v>1964581.4391541332</v>
      </c>
      <c r="D36" s="254">
        <f>+D8+D14+D15+D16+D17+D18+D19+D20</f>
        <v>1798098.4417915987</v>
      </c>
      <c r="E36" s="254">
        <f t="shared" ref="E36:I36" si="6">+E8+E14+E15+E16+E17+E18+E19+E20</f>
        <v>2097025.6162319309</v>
      </c>
      <c r="F36" s="254">
        <f t="shared" si="6"/>
        <v>2330267.9934037346</v>
      </c>
      <c r="G36" s="254">
        <f t="shared" si="6"/>
        <v>2449606.3705755384</v>
      </c>
      <c r="H36" s="254">
        <f t="shared" si="6"/>
        <v>2507807.7477473421</v>
      </c>
      <c r="I36" s="254">
        <f t="shared" si="6"/>
        <v>2566182.1249191463</v>
      </c>
    </row>
    <row r="37" spans="1:9" x14ac:dyDescent="0.2">
      <c r="A37" t="s">
        <v>16</v>
      </c>
      <c r="C37" s="254">
        <f>+C7+C22+C23+C24+C25</f>
        <v>1634073.1605199999</v>
      </c>
      <c r="D37" s="254">
        <f>+D7+D22+D23+D24+D25</f>
        <v>1772993.5582084015</v>
      </c>
      <c r="E37" s="254">
        <f t="shared" ref="E37:I37" si="7">+E7+E22+E23+E24+E25</f>
        <v>1941646.3837680691</v>
      </c>
      <c r="F37" s="254">
        <f t="shared" si="7"/>
        <v>2462919.0065962654</v>
      </c>
      <c r="G37" s="254">
        <f t="shared" si="7"/>
        <v>2461886.6294244616</v>
      </c>
      <c r="H37" s="254">
        <f t="shared" si="7"/>
        <v>2469547.2522526579</v>
      </c>
      <c r="I37" s="254">
        <f t="shared" si="7"/>
        <v>2481905.8750808537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9" customWidth="1"/>
    <col min="2" max="3" width="4.140625" style="39" customWidth="1"/>
    <col min="4" max="4" width="4.42578125" style="39" customWidth="1"/>
    <col min="5" max="5" width="9.140625" style="39" customWidth="1"/>
    <col min="6" max="7" width="10.28515625" style="39" customWidth="1"/>
    <col min="8" max="14" width="9.140625" style="39" customWidth="1"/>
    <col min="15" max="15" width="2.5703125" style="39" customWidth="1"/>
    <col min="16" max="18" width="0" style="39" hidden="1" customWidth="1"/>
    <col min="19" max="16384" width="9.140625" style="39" hidden="1"/>
  </cols>
  <sheetData>
    <row r="1" spans="1:18" ht="15.75" x14ac:dyDescent="0.25">
      <c r="A1" s="38" t="s">
        <v>72</v>
      </c>
      <c r="B1" s="38"/>
      <c r="C1" s="38"/>
      <c r="D1" s="38"/>
      <c r="E1" s="38"/>
      <c r="F1" s="38"/>
      <c r="G1" s="38"/>
    </row>
    <row r="2" spans="1:18" ht="15.75" x14ac:dyDescent="0.25">
      <c r="A2" s="204" t="s">
        <v>73</v>
      </c>
      <c r="B2" s="205"/>
      <c r="C2" s="205"/>
      <c r="D2" s="205"/>
      <c r="E2" s="205"/>
      <c r="F2" s="205"/>
      <c r="G2" s="205"/>
    </row>
    <row r="3" spans="1:18" x14ac:dyDescent="0.2">
      <c r="A3" s="44" t="s">
        <v>1</v>
      </c>
    </row>
    <row r="4" spans="1:18" ht="15" x14ac:dyDescent="0.2">
      <c r="A4" s="45" t="s">
        <v>3</v>
      </c>
      <c r="F4" s="206"/>
    </row>
    <row r="5" spans="1:18" x14ac:dyDescent="0.2">
      <c r="A5" s="46" t="e">
        <f ca="1">CELL("filename")</f>
        <v>#N/A</v>
      </c>
    </row>
    <row r="6" spans="1:18" x14ac:dyDescent="0.2">
      <c r="A6" s="48"/>
      <c r="B6" s="48"/>
      <c r="C6" s="48"/>
      <c r="D6" s="48"/>
      <c r="E6" s="48"/>
      <c r="F6" s="43"/>
      <c r="G6" s="48"/>
      <c r="H6" s="48"/>
      <c r="I6" s="48"/>
      <c r="J6" s="48"/>
      <c r="K6" s="48"/>
      <c r="L6" s="48"/>
      <c r="M6" s="48"/>
      <c r="N6" s="48"/>
      <c r="O6" s="47"/>
      <c r="P6" s="47"/>
      <c r="Q6" s="47"/>
      <c r="R6" s="47"/>
    </row>
    <row r="7" spans="1:18" x14ac:dyDescent="0.2">
      <c r="A7" s="48"/>
      <c r="B7" s="207" t="s">
        <v>74</v>
      </c>
      <c r="C7" s="48"/>
      <c r="D7" s="48"/>
      <c r="E7" s="48"/>
      <c r="F7" s="43"/>
      <c r="G7" s="48"/>
      <c r="H7" s="48"/>
      <c r="I7" s="48"/>
      <c r="J7" s="48"/>
      <c r="K7" s="48"/>
      <c r="L7" s="48"/>
      <c r="M7" s="48"/>
      <c r="N7" s="48"/>
      <c r="O7" s="47"/>
      <c r="P7" s="47"/>
      <c r="Q7" s="47"/>
      <c r="R7" s="47"/>
    </row>
    <row r="8" spans="1:18" x14ac:dyDescent="0.2">
      <c r="A8" s="48"/>
      <c r="B8" s="207" t="s">
        <v>75</v>
      </c>
      <c r="C8" s="48"/>
      <c r="D8" s="48"/>
      <c r="E8" s="48"/>
      <c r="F8" s="43"/>
      <c r="G8" s="48"/>
      <c r="H8" s="48"/>
      <c r="I8" s="48"/>
      <c r="J8" s="48"/>
      <c r="K8" s="48"/>
      <c r="L8" s="48"/>
      <c r="M8" s="48"/>
      <c r="N8" s="48"/>
      <c r="O8" s="47"/>
      <c r="P8" s="47"/>
      <c r="Q8" s="47"/>
      <c r="R8" s="47"/>
    </row>
    <row r="9" spans="1:18" x14ac:dyDescent="0.2">
      <c r="A9" s="48"/>
      <c r="B9" s="153" t="s">
        <v>76</v>
      </c>
      <c r="C9" s="48"/>
      <c r="D9" s="48"/>
      <c r="E9" s="48"/>
      <c r="F9" s="43"/>
      <c r="G9" s="48"/>
      <c r="H9" s="48"/>
      <c r="I9" s="48"/>
      <c r="J9" s="48"/>
      <c r="K9" s="48"/>
      <c r="L9" s="48"/>
      <c r="M9" s="48"/>
      <c r="N9" s="48"/>
      <c r="O9" s="47"/>
      <c r="P9" s="47"/>
      <c r="Q9" s="47"/>
      <c r="R9" s="47"/>
    </row>
    <row r="10" spans="1:18" x14ac:dyDescent="0.2">
      <c r="A10" s="48"/>
      <c r="B10" s="89"/>
      <c r="C10" s="48"/>
      <c r="D10" s="48"/>
      <c r="E10" s="48"/>
      <c r="F10" s="43"/>
      <c r="G10" s="48"/>
      <c r="H10" s="48"/>
      <c r="I10" s="48"/>
      <c r="J10" s="48"/>
      <c r="K10" s="48"/>
      <c r="L10" s="48"/>
      <c r="M10" s="48"/>
      <c r="N10" s="48"/>
      <c r="O10" s="47"/>
      <c r="P10" s="47"/>
      <c r="Q10" s="47"/>
      <c r="R10" s="47"/>
    </row>
    <row r="11" spans="1:18" ht="18" x14ac:dyDescent="0.25">
      <c r="A11" s="48"/>
      <c r="B11" s="208" t="s">
        <v>77</v>
      </c>
      <c r="C11" s="209"/>
      <c r="D11" s="210"/>
      <c r="E11" s="211"/>
      <c r="F11" s="211"/>
      <c r="G11" s="212"/>
      <c r="H11" s="211"/>
      <c r="I11" s="213"/>
      <c r="J11" s="213"/>
      <c r="K11" s="213"/>
      <c r="L11" s="213"/>
      <c r="M11" s="213"/>
      <c r="N11" s="213"/>
      <c r="O11" s="47"/>
      <c r="P11" s="47"/>
      <c r="Q11" s="47"/>
      <c r="R11" s="47"/>
    </row>
    <row r="12" spans="1:18" ht="15" x14ac:dyDescent="0.2">
      <c r="A12" s="48"/>
      <c r="B12" s="214" t="s">
        <v>78</v>
      </c>
      <c r="C12" s="215"/>
      <c r="D12" s="215"/>
      <c r="E12" s="215"/>
      <c r="F12" s="274"/>
      <c r="G12" s="274"/>
      <c r="H12" s="274"/>
      <c r="I12" s="274"/>
      <c r="J12" s="274"/>
      <c r="K12" s="274"/>
      <c r="L12" s="48"/>
      <c r="M12" s="48"/>
      <c r="N12" s="48"/>
      <c r="O12" s="47"/>
      <c r="P12" s="47"/>
      <c r="Q12" s="47"/>
      <c r="R12" s="47"/>
    </row>
    <row r="13" spans="1:18" ht="15" x14ac:dyDescent="0.2">
      <c r="A13" s="48"/>
      <c r="B13" s="214" t="s">
        <v>79</v>
      </c>
      <c r="C13" s="215"/>
      <c r="D13" s="215"/>
      <c r="E13" s="215"/>
      <c r="F13" s="274"/>
      <c r="G13" s="274"/>
      <c r="H13" s="274"/>
      <c r="I13" s="274"/>
      <c r="J13" s="274"/>
      <c r="K13" s="274"/>
      <c r="L13" s="48"/>
      <c r="M13" s="48"/>
      <c r="N13" s="48"/>
      <c r="O13" s="47"/>
      <c r="P13" s="47"/>
      <c r="Q13" s="47"/>
      <c r="R13" s="47"/>
    </row>
    <row r="14" spans="1:18" ht="34.5" customHeight="1" x14ac:dyDescent="0.2">
      <c r="A14" s="48"/>
      <c r="B14" s="273" t="s">
        <v>80</v>
      </c>
      <c r="C14" s="273"/>
      <c r="D14" s="273"/>
      <c r="E14" s="273"/>
      <c r="F14" s="274"/>
      <c r="G14" s="274"/>
      <c r="H14" s="274"/>
      <c r="I14" s="274"/>
      <c r="J14" s="274"/>
      <c r="K14" s="274"/>
      <c r="L14" s="48"/>
      <c r="M14" s="48"/>
      <c r="N14" s="48"/>
      <c r="O14" s="47"/>
      <c r="P14" s="47"/>
      <c r="Q14" s="47"/>
      <c r="R14" s="47"/>
    </row>
    <row r="15" spans="1:18" ht="31.5" customHeight="1" x14ac:dyDescent="0.2">
      <c r="A15" s="48"/>
      <c r="B15" s="273" t="s">
        <v>81</v>
      </c>
      <c r="C15" s="273"/>
      <c r="D15" s="273"/>
      <c r="E15" s="273"/>
      <c r="F15" s="274"/>
      <c r="G15" s="274"/>
      <c r="H15" s="274"/>
      <c r="I15" s="274"/>
      <c r="J15" s="274"/>
      <c r="K15" s="274"/>
      <c r="L15" s="48"/>
      <c r="M15" s="48"/>
      <c r="N15" s="48"/>
      <c r="O15" s="47"/>
      <c r="P15" s="47"/>
      <c r="Q15" s="47"/>
      <c r="R15" s="47"/>
    </row>
    <row r="16" spans="1:18" ht="15" x14ac:dyDescent="0.2">
      <c r="A16" s="48"/>
      <c r="B16" s="214" t="s">
        <v>82</v>
      </c>
      <c r="C16" s="215"/>
      <c r="D16" s="215"/>
      <c r="E16" s="215"/>
      <c r="F16" s="274"/>
      <c r="G16" s="274"/>
      <c r="H16" s="274"/>
      <c r="I16" s="274"/>
      <c r="J16" s="274"/>
      <c r="K16" s="274"/>
      <c r="L16" s="48"/>
      <c r="M16" s="48"/>
      <c r="N16" s="48"/>
      <c r="O16" s="47"/>
      <c r="P16" s="47"/>
      <c r="Q16" s="47"/>
      <c r="R16" s="47"/>
    </row>
    <row r="17" spans="1:18" ht="15" x14ac:dyDescent="0.2">
      <c r="A17" s="48"/>
      <c r="B17" s="214" t="s">
        <v>83</v>
      </c>
      <c r="C17" s="215"/>
      <c r="D17" s="215"/>
      <c r="E17" s="215"/>
      <c r="F17" s="274"/>
      <c r="G17" s="274"/>
      <c r="H17" s="274"/>
      <c r="I17" s="274"/>
      <c r="J17" s="274"/>
      <c r="K17" s="274"/>
      <c r="L17" s="48"/>
      <c r="M17" s="48"/>
      <c r="N17" s="48"/>
      <c r="O17" s="47"/>
      <c r="P17" s="47"/>
      <c r="Q17" s="47"/>
      <c r="R17" s="47"/>
    </row>
    <row r="18" spans="1:18" ht="15" x14ac:dyDescent="0.2">
      <c r="A18" s="48"/>
      <c r="B18" s="214" t="s">
        <v>84</v>
      </c>
      <c r="C18" s="215"/>
      <c r="D18" s="215"/>
      <c r="E18" s="215"/>
      <c r="F18" s="274"/>
      <c r="G18" s="274"/>
      <c r="H18" s="274"/>
      <c r="I18" s="274"/>
      <c r="J18" s="274"/>
      <c r="K18" s="274"/>
      <c r="L18" s="48"/>
      <c r="M18" s="48"/>
      <c r="N18" s="48"/>
      <c r="O18" s="47"/>
      <c r="P18" s="47"/>
      <c r="Q18" s="47"/>
      <c r="R18" s="47"/>
    </row>
    <row r="19" spans="1:18" ht="28.5" customHeight="1" x14ac:dyDescent="0.2">
      <c r="A19" s="48"/>
      <c r="B19" s="273" t="s">
        <v>85</v>
      </c>
      <c r="C19" s="273"/>
      <c r="D19" s="273"/>
      <c r="E19" s="273"/>
      <c r="F19" s="274"/>
      <c r="G19" s="274"/>
      <c r="H19" s="274"/>
      <c r="I19" s="274"/>
      <c r="J19" s="274"/>
      <c r="K19" s="274"/>
      <c r="L19" s="48"/>
      <c r="M19" s="48"/>
      <c r="N19" s="48"/>
      <c r="O19" s="47"/>
      <c r="P19" s="47"/>
      <c r="Q19" s="47"/>
      <c r="R19" s="47"/>
    </row>
    <row r="20" spans="1:18" ht="35.25" customHeight="1" x14ac:dyDescent="0.25">
      <c r="A20" s="48"/>
      <c r="B20" s="273" t="s">
        <v>86</v>
      </c>
      <c r="C20" s="273"/>
      <c r="D20" s="273"/>
      <c r="E20" s="273"/>
      <c r="F20" s="274"/>
      <c r="G20" s="274"/>
      <c r="H20" s="274"/>
      <c r="I20" s="274"/>
      <c r="J20" s="274"/>
      <c r="K20" s="274"/>
      <c r="L20" s="48"/>
      <c r="M20" s="216"/>
      <c r="N20" s="48"/>
      <c r="O20" s="47"/>
      <c r="P20" s="47"/>
      <c r="Q20" s="47"/>
      <c r="R20" s="47"/>
    </row>
    <row r="21" spans="1:18" ht="15" x14ac:dyDescent="0.2">
      <c r="A21" s="48"/>
      <c r="B21" s="48"/>
      <c r="C21" s="48"/>
      <c r="E21" s="43"/>
      <c r="F21" s="43"/>
      <c r="G21" s="217"/>
      <c r="H21" s="43"/>
      <c r="I21" s="48"/>
      <c r="J21" s="48"/>
      <c r="K21" s="48"/>
      <c r="L21" s="48"/>
      <c r="M21" s="48"/>
      <c r="N21" s="48"/>
      <c r="O21" s="47"/>
      <c r="P21" s="47"/>
      <c r="Q21" s="47"/>
      <c r="R21" s="47"/>
    </row>
    <row r="22" spans="1:18" ht="18" x14ac:dyDescent="0.25">
      <c r="A22" s="47"/>
      <c r="B22" s="208" t="s">
        <v>87</v>
      </c>
      <c r="C22" s="209"/>
      <c r="D22" s="210"/>
      <c r="E22" s="211"/>
      <c r="F22" s="211"/>
      <c r="G22" s="212"/>
      <c r="H22" s="211"/>
      <c r="I22" s="213"/>
      <c r="J22" s="213"/>
      <c r="K22" s="213"/>
      <c r="L22" s="213"/>
      <c r="M22" s="213"/>
      <c r="N22" s="213"/>
      <c r="O22" s="47"/>
      <c r="P22" s="47"/>
      <c r="Q22" s="47"/>
      <c r="R22" s="47"/>
    </row>
    <row r="23" spans="1:18" ht="18" x14ac:dyDescent="0.25">
      <c r="A23" s="47"/>
      <c r="B23" s="218" t="s">
        <v>88</v>
      </c>
      <c r="C23" s="219"/>
      <c r="D23" s="206"/>
      <c r="E23" s="220"/>
      <c r="G23" s="221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5" x14ac:dyDescent="0.2">
      <c r="A24" s="47"/>
      <c r="B24" s="222"/>
      <c r="C24" s="223"/>
      <c r="D24" s="224">
        <v>1</v>
      </c>
      <c r="E24" s="206" t="s">
        <v>89</v>
      </c>
      <c r="G24" s="221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" x14ac:dyDescent="0.2">
      <c r="A25" s="47"/>
      <c r="B25" s="222"/>
      <c r="C25" s="223"/>
      <c r="D25" s="224">
        <v>2</v>
      </c>
      <c r="E25" s="206" t="s">
        <v>90</v>
      </c>
      <c r="G25" s="221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5" x14ac:dyDescent="0.2">
      <c r="A26" s="47"/>
      <c r="B26" s="222"/>
      <c r="C26" s="223"/>
      <c r="D26" s="224">
        <v>3</v>
      </c>
      <c r="E26" s="206" t="s">
        <v>91</v>
      </c>
      <c r="G26" s="221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5" x14ac:dyDescent="0.2">
      <c r="A27" s="47"/>
      <c r="B27" s="222"/>
      <c r="C27" s="223"/>
      <c r="D27" s="224">
        <v>4</v>
      </c>
      <c r="E27" s="206" t="s">
        <v>92</v>
      </c>
      <c r="G27" s="221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" x14ac:dyDescent="0.2">
      <c r="A28" s="47"/>
      <c r="B28" s="222"/>
      <c r="C28" s="223"/>
      <c r="D28" s="224">
        <v>5</v>
      </c>
      <c r="E28" s="206" t="s">
        <v>93</v>
      </c>
      <c r="G28" s="221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" x14ac:dyDescent="0.2">
      <c r="A29" s="47"/>
      <c r="B29" s="222"/>
      <c r="C29" s="223"/>
      <c r="D29" s="224">
        <v>6</v>
      </c>
      <c r="E29" s="206" t="s">
        <v>94</v>
      </c>
      <c r="G29" s="221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" x14ac:dyDescent="0.2">
      <c r="A30" s="47"/>
      <c r="B30" s="222" t="s">
        <v>95</v>
      </c>
      <c r="C30" s="223"/>
      <c r="D30" s="224">
        <v>7</v>
      </c>
      <c r="E30" s="206" t="s">
        <v>96</v>
      </c>
      <c r="G30" s="221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" x14ac:dyDescent="0.2">
      <c r="A31" s="47"/>
      <c r="B31" s="222"/>
      <c r="C31" s="223"/>
      <c r="D31" s="224">
        <v>8</v>
      </c>
      <c r="E31" s="206" t="s">
        <v>97</v>
      </c>
      <c r="G31" s="221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5" x14ac:dyDescent="0.2">
      <c r="A32" s="47"/>
      <c r="B32" s="222"/>
      <c r="C32" s="223"/>
      <c r="D32" s="224">
        <v>9</v>
      </c>
      <c r="E32" s="206" t="s">
        <v>98</v>
      </c>
      <c r="G32" s="221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" x14ac:dyDescent="0.2">
      <c r="A33" s="47"/>
      <c r="B33" s="222"/>
      <c r="C33" s="223"/>
      <c r="D33" s="224">
        <v>10</v>
      </c>
      <c r="E33" s="206" t="s">
        <v>99</v>
      </c>
      <c r="G33" s="221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" x14ac:dyDescent="0.2">
      <c r="A34" s="47"/>
      <c r="B34" s="222"/>
      <c r="C34" s="223"/>
      <c r="D34" s="224">
        <v>11</v>
      </c>
      <c r="E34" s="206" t="s">
        <v>100</v>
      </c>
      <c r="G34" s="221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" x14ac:dyDescent="0.2">
      <c r="A35" s="47"/>
      <c r="B35" s="222"/>
      <c r="C35" s="223"/>
      <c r="D35" s="224">
        <v>12</v>
      </c>
      <c r="E35" s="206" t="s">
        <v>101</v>
      </c>
      <c r="G35" s="221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5" x14ac:dyDescent="0.2">
      <c r="A36" s="47"/>
      <c r="B36" s="222"/>
      <c r="C36" s="223"/>
      <c r="D36" s="224">
        <v>13</v>
      </c>
      <c r="E36" s="206" t="s">
        <v>102</v>
      </c>
      <c r="G36" s="271"/>
      <c r="H36" s="271"/>
      <c r="I36" s="271"/>
      <c r="J36" s="271"/>
      <c r="K36" s="271"/>
      <c r="L36" s="271"/>
      <c r="M36" s="271"/>
      <c r="N36" s="271"/>
      <c r="O36" s="47"/>
      <c r="P36" s="47"/>
      <c r="Q36" s="47"/>
      <c r="R36" s="47"/>
    </row>
    <row r="37" spans="1:18" ht="15" x14ac:dyDescent="0.2">
      <c r="A37" s="47"/>
      <c r="B37" s="219"/>
      <c r="C37" s="219"/>
      <c r="D37" s="47"/>
      <c r="E37" s="47"/>
      <c r="F37" s="221"/>
      <c r="G37" s="221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8" x14ac:dyDescent="0.25">
      <c r="A38" s="47"/>
      <c r="B38" s="208" t="s">
        <v>103</v>
      </c>
      <c r="C38" s="212"/>
      <c r="D38" s="212"/>
      <c r="E38" s="211"/>
      <c r="F38" s="213"/>
      <c r="G38" s="213"/>
      <c r="H38" s="213"/>
      <c r="I38" s="211"/>
      <c r="J38" s="211"/>
      <c r="K38" s="211"/>
      <c r="L38" s="213"/>
      <c r="M38" s="213"/>
      <c r="N38" s="213"/>
      <c r="O38" s="47"/>
      <c r="P38" s="47"/>
      <c r="Q38" s="47"/>
      <c r="R38" s="47"/>
    </row>
    <row r="39" spans="1:18" ht="15" x14ac:dyDescent="0.2">
      <c r="A39" s="47"/>
      <c r="B39" s="218" t="s">
        <v>104</v>
      </c>
      <c r="C39" s="219"/>
      <c r="F39" s="221"/>
      <c r="G39" s="221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5" x14ac:dyDescent="0.2">
      <c r="A40" s="47"/>
      <c r="B40" s="218" t="s">
        <v>105</v>
      </c>
      <c r="C40" s="219"/>
      <c r="D40" s="225"/>
      <c r="E40" s="206"/>
      <c r="F40" s="221"/>
      <c r="G40" s="221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5" x14ac:dyDescent="0.2">
      <c r="A41" s="47"/>
      <c r="B41" s="218" t="s">
        <v>106</v>
      </c>
      <c r="C41" s="219"/>
      <c r="D41" s="225"/>
      <c r="E41" s="206"/>
      <c r="F41" s="221"/>
      <c r="G41" s="221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5" x14ac:dyDescent="0.2">
      <c r="A42" s="47"/>
      <c r="B42" s="218"/>
      <c r="C42" s="219"/>
      <c r="D42" s="225"/>
      <c r="E42" s="206"/>
      <c r="F42" s="221"/>
      <c r="G42" s="221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" x14ac:dyDescent="0.2">
      <c r="A43" s="47"/>
      <c r="B43" s="222" t="s">
        <v>95</v>
      </c>
      <c r="C43" s="226" t="str">
        <f>IF(B43="x"," ","nc")</f>
        <v xml:space="preserve"> </v>
      </c>
      <c r="D43" s="224">
        <v>0</v>
      </c>
      <c r="E43" s="206" t="s">
        <v>107</v>
      </c>
      <c r="F43" s="221"/>
      <c r="G43" s="221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5" x14ac:dyDescent="0.2">
      <c r="A44" s="47"/>
      <c r="B44" s="222" t="s">
        <v>95</v>
      </c>
      <c r="C44" s="226" t="str">
        <f>IF(B44="x"," ","nc")</f>
        <v xml:space="preserve"> </v>
      </c>
      <c r="D44" s="224">
        <v>1</v>
      </c>
      <c r="E44" s="206" t="s">
        <v>108</v>
      </c>
      <c r="F44" s="221"/>
      <c r="G44" s="221"/>
      <c r="I44" s="227" t="s">
        <v>109</v>
      </c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5" x14ac:dyDescent="0.2">
      <c r="A45" s="47"/>
      <c r="B45" s="222"/>
      <c r="C45" s="226" t="str">
        <f t="shared" ref="C45:C65" si="0">IF(B45="x"," ","nc")</f>
        <v>nc</v>
      </c>
      <c r="D45" s="224">
        <v>2</v>
      </c>
      <c r="E45" s="206" t="s">
        <v>110</v>
      </c>
      <c r="F45" s="221"/>
      <c r="G45" s="221"/>
      <c r="I45" s="227" t="s">
        <v>111</v>
      </c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5" x14ac:dyDescent="0.2">
      <c r="A46" s="47"/>
      <c r="B46" s="222"/>
      <c r="C46" s="226" t="str">
        <f t="shared" si="0"/>
        <v>nc</v>
      </c>
      <c r="D46" s="224">
        <v>3</v>
      </c>
      <c r="E46" s="206" t="s">
        <v>112</v>
      </c>
      <c r="F46" s="221"/>
      <c r="G46" s="221"/>
      <c r="I46" s="227" t="s">
        <v>113</v>
      </c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5" x14ac:dyDescent="0.2">
      <c r="A47" s="47"/>
      <c r="B47" s="222" t="s">
        <v>95</v>
      </c>
      <c r="C47" s="226" t="str">
        <f t="shared" si="0"/>
        <v xml:space="preserve"> </v>
      </c>
      <c r="D47" s="224">
        <v>4</v>
      </c>
      <c r="E47" s="206" t="s">
        <v>114</v>
      </c>
      <c r="F47" s="221"/>
      <c r="G47" s="221"/>
      <c r="I47" s="227" t="s">
        <v>115</v>
      </c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5" x14ac:dyDescent="0.2">
      <c r="A48" s="47"/>
      <c r="B48" s="222" t="s">
        <v>95</v>
      </c>
      <c r="C48" s="226" t="str">
        <f t="shared" si="0"/>
        <v xml:space="preserve"> </v>
      </c>
      <c r="D48" s="224">
        <v>5</v>
      </c>
      <c r="E48" s="206" t="s">
        <v>116</v>
      </c>
      <c r="F48" s="221"/>
      <c r="G48" s="221"/>
      <c r="I48" s="227" t="s">
        <v>117</v>
      </c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5" x14ac:dyDescent="0.2">
      <c r="A49" s="47"/>
      <c r="B49" s="222"/>
      <c r="C49" s="226" t="str">
        <f t="shared" si="0"/>
        <v>nc</v>
      </c>
      <c r="D49" s="224">
        <v>6</v>
      </c>
      <c r="E49" s="206" t="s">
        <v>118</v>
      </c>
      <c r="F49" s="221"/>
      <c r="H49" s="221"/>
      <c r="I49" s="227" t="s">
        <v>119</v>
      </c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5" x14ac:dyDescent="0.2">
      <c r="A50" s="47"/>
      <c r="B50" s="222"/>
      <c r="C50" s="226" t="str">
        <f t="shared" si="0"/>
        <v>nc</v>
      </c>
      <c r="D50" s="224">
        <v>7</v>
      </c>
      <c r="E50" s="206" t="s">
        <v>120</v>
      </c>
      <c r="F50" s="221"/>
      <c r="H50" s="221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5" x14ac:dyDescent="0.2">
      <c r="A51" s="47"/>
      <c r="B51" s="222"/>
      <c r="C51" s="226" t="str">
        <f t="shared" si="0"/>
        <v>nc</v>
      </c>
      <c r="D51" s="224">
        <v>8</v>
      </c>
      <c r="E51" s="206" t="s">
        <v>121</v>
      </c>
      <c r="F51" s="221"/>
      <c r="H51" s="221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" x14ac:dyDescent="0.2">
      <c r="A52" s="47"/>
      <c r="B52" s="222"/>
      <c r="C52" s="226" t="str">
        <f t="shared" si="0"/>
        <v>nc</v>
      </c>
      <c r="D52" s="224">
        <v>9</v>
      </c>
      <c r="E52" s="206" t="s">
        <v>122</v>
      </c>
      <c r="F52" s="221"/>
      <c r="H52" s="221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5" x14ac:dyDescent="0.2">
      <c r="A53" s="47"/>
      <c r="B53" s="222"/>
      <c r="C53" s="226" t="str">
        <f t="shared" si="0"/>
        <v>nc</v>
      </c>
      <c r="D53" s="224">
        <v>10</v>
      </c>
      <c r="E53" s="206" t="s">
        <v>123</v>
      </c>
      <c r="F53" s="221"/>
      <c r="H53" s="221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5" x14ac:dyDescent="0.2">
      <c r="A54" s="47"/>
      <c r="B54" s="222"/>
      <c r="C54" s="226" t="str">
        <f t="shared" si="0"/>
        <v>nc</v>
      </c>
      <c r="D54" s="224">
        <v>11</v>
      </c>
      <c r="E54" s="206" t="s">
        <v>124</v>
      </c>
      <c r="F54" s="221"/>
      <c r="H54" s="221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5" x14ac:dyDescent="0.2">
      <c r="A55" s="47"/>
      <c r="B55" s="222"/>
      <c r="C55" s="226" t="str">
        <f t="shared" si="0"/>
        <v>nc</v>
      </c>
      <c r="D55" s="224">
        <v>12</v>
      </c>
      <c r="E55" s="206" t="s">
        <v>125</v>
      </c>
      <c r="F55" s="221"/>
      <c r="H55" s="221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5" x14ac:dyDescent="0.2">
      <c r="A56" s="47"/>
      <c r="B56" s="222"/>
      <c r="C56" s="226" t="str">
        <f t="shared" si="0"/>
        <v>nc</v>
      </c>
      <c r="D56" s="224">
        <v>13</v>
      </c>
      <c r="E56" s="206" t="s">
        <v>126</v>
      </c>
      <c r="F56" s="228"/>
      <c r="H56" s="221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5" x14ac:dyDescent="0.2">
      <c r="A57" s="47"/>
      <c r="B57" s="222"/>
      <c r="C57" s="226" t="str">
        <f t="shared" si="0"/>
        <v>nc</v>
      </c>
      <c r="D57" s="224">
        <v>14</v>
      </c>
      <c r="E57" s="206" t="s">
        <v>127</v>
      </c>
      <c r="F57" s="221"/>
      <c r="H57" s="221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5" x14ac:dyDescent="0.2">
      <c r="A58" s="47"/>
      <c r="B58" s="222"/>
      <c r="C58" s="226" t="str">
        <f t="shared" si="0"/>
        <v>nc</v>
      </c>
      <c r="D58" s="224">
        <v>15</v>
      </c>
      <c r="E58" s="229" t="s">
        <v>128</v>
      </c>
      <c r="F58" s="221"/>
      <c r="H58" s="221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5" x14ac:dyDescent="0.2">
      <c r="A59" s="47"/>
      <c r="B59" s="222"/>
      <c r="C59" s="226" t="str">
        <f t="shared" si="0"/>
        <v>nc</v>
      </c>
      <c r="D59" s="224">
        <v>16</v>
      </c>
      <c r="E59" s="206" t="s">
        <v>129</v>
      </c>
      <c r="F59" s="221"/>
      <c r="H59" s="221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5" x14ac:dyDescent="0.2">
      <c r="A60" s="47"/>
      <c r="B60" s="222"/>
      <c r="C60" s="226" t="str">
        <f t="shared" si="0"/>
        <v>nc</v>
      </c>
      <c r="D60" s="224">
        <v>17</v>
      </c>
      <c r="E60" s="206" t="s">
        <v>130</v>
      </c>
      <c r="F60" s="221"/>
      <c r="H60" s="221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5" x14ac:dyDescent="0.2">
      <c r="A61" s="47"/>
      <c r="B61" s="222"/>
      <c r="C61" s="226" t="str">
        <f t="shared" si="0"/>
        <v>nc</v>
      </c>
      <c r="D61" s="224">
        <v>18</v>
      </c>
      <c r="E61" s="206" t="s">
        <v>131</v>
      </c>
      <c r="F61" s="221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15" x14ac:dyDescent="0.2">
      <c r="A62" s="47"/>
      <c r="B62" s="222"/>
      <c r="C62" s="226" t="str">
        <f t="shared" si="0"/>
        <v>nc</v>
      </c>
      <c r="D62" s="224">
        <v>19</v>
      </c>
      <c r="E62" s="206" t="s">
        <v>132</v>
      </c>
      <c r="F62" s="221"/>
      <c r="H62" s="221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15" x14ac:dyDescent="0.2">
      <c r="A63" s="47"/>
      <c r="B63" s="222"/>
      <c r="C63" s="226" t="str">
        <f t="shared" si="0"/>
        <v>nc</v>
      </c>
      <c r="D63" s="224">
        <v>20</v>
      </c>
      <c r="E63" s="206" t="s">
        <v>133</v>
      </c>
      <c r="F63" s="221"/>
      <c r="H63" s="221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15" x14ac:dyDescent="0.2">
      <c r="A64" s="47"/>
      <c r="B64" s="222"/>
      <c r="C64" s="226" t="str">
        <f t="shared" si="0"/>
        <v>nc</v>
      </c>
      <c r="D64" s="224">
        <v>21</v>
      </c>
      <c r="E64" s="206" t="s">
        <v>134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15" x14ac:dyDescent="0.2">
      <c r="A65" s="47"/>
      <c r="B65" s="222"/>
      <c r="C65" s="226" t="str">
        <f t="shared" si="0"/>
        <v>nc</v>
      </c>
      <c r="D65" s="224">
        <v>22</v>
      </c>
      <c r="E65" s="206" t="s">
        <v>135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18" x14ac:dyDescent="0.25">
      <c r="A67" s="47"/>
      <c r="B67" s="208" t="s">
        <v>136</v>
      </c>
      <c r="C67" s="212"/>
      <c r="D67" s="212"/>
      <c r="E67" s="211"/>
      <c r="F67" s="213"/>
      <c r="G67" s="213"/>
      <c r="H67" s="213"/>
      <c r="I67" s="211"/>
      <c r="J67" s="211"/>
      <c r="K67" s="211"/>
      <c r="L67" s="213"/>
      <c r="M67" s="213"/>
      <c r="N67" s="213"/>
      <c r="O67" s="47"/>
      <c r="P67" s="47"/>
      <c r="Q67" s="47"/>
      <c r="R67" s="47"/>
    </row>
    <row r="68" spans="1:18" x14ac:dyDescent="0.2">
      <c r="A68" s="47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47"/>
      <c r="P68" s="47"/>
      <c r="Q68" s="47"/>
      <c r="R68" s="47"/>
    </row>
    <row r="69" spans="1:18" x14ac:dyDescent="0.2">
      <c r="A69" s="47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47"/>
      <c r="P69" s="47"/>
      <c r="Q69" s="47"/>
      <c r="R69" s="47"/>
    </row>
    <row r="70" spans="1:18" x14ac:dyDescent="0.2">
      <c r="A70" s="47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47"/>
      <c r="P70" s="47"/>
      <c r="Q70" s="47"/>
      <c r="R70" s="47"/>
    </row>
    <row r="71" spans="1:18" x14ac:dyDescent="0.2">
      <c r="A71" s="47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47"/>
      <c r="P71" s="47"/>
      <c r="Q71" s="47"/>
      <c r="R71" s="47"/>
    </row>
    <row r="72" spans="1:18" x14ac:dyDescent="0.2">
      <c r="A72" s="47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47"/>
      <c r="P72" s="47"/>
      <c r="Q72" s="47"/>
      <c r="R72" s="47"/>
    </row>
    <row r="73" spans="1:18" x14ac:dyDescent="0.2">
      <c r="A73" s="47"/>
      <c r="B73" s="270"/>
      <c r="C73" s="270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47"/>
      <c r="P73" s="47"/>
      <c r="Q73" s="47"/>
      <c r="R73" s="47"/>
    </row>
    <row r="74" spans="1:18" ht="18" x14ac:dyDescent="0.25">
      <c r="A74" s="47"/>
      <c r="B74" s="208" t="s">
        <v>137</v>
      </c>
      <c r="C74" s="212"/>
      <c r="D74" s="212"/>
      <c r="E74" s="211"/>
      <c r="F74" s="213"/>
      <c r="G74" s="213"/>
      <c r="H74" s="213"/>
      <c r="I74" s="211"/>
      <c r="J74" s="211"/>
      <c r="K74" s="211"/>
      <c r="L74" s="213"/>
      <c r="M74" s="213"/>
      <c r="N74" s="213"/>
      <c r="O74" s="47"/>
      <c r="P74" s="47"/>
      <c r="Q74" s="47"/>
      <c r="R74" s="47"/>
    </row>
    <row r="75" spans="1:18" x14ac:dyDescent="0.2">
      <c r="A75" s="47"/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47"/>
      <c r="P75" s="47"/>
      <c r="Q75" s="47"/>
      <c r="R75" s="47"/>
    </row>
    <row r="76" spans="1:18" x14ac:dyDescent="0.2">
      <c r="A76" s="47"/>
      <c r="B76" s="270"/>
      <c r="C76" s="270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47"/>
      <c r="P76" s="47"/>
      <c r="Q76" s="47"/>
      <c r="R76" s="47"/>
    </row>
    <row r="77" spans="1:18" x14ac:dyDescent="0.2">
      <c r="A77" s="47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47"/>
      <c r="P77" s="47"/>
      <c r="Q77" s="47"/>
      <c r="R77" s="47"/>
    </row>
    <row r="78" spans="1:18" x14ac:dyDescent="0.2">
      <c r="A78" s="47"/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47"/>
      <c r="P78" s="47"/>
      <c r="Q78" s="47"/>
      <c r="R78" s="47"/>
    </row>
    <row r="79" spans="1:18" x14ac:dyDescent="0.2">
      <c r="A79" s="47"/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47"/>
      <c r="P79" s="47"/>
      <c r="Q79" s="47"/>
      <c r="R79" s="47"/>
    </row>
    <row r="80" spans="1:18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idden="1" x14ac:dyDescent="0.2">
      <c r="A81" s="47"/>
      <c r="B81" s="47"/>
      <c r="C81" s="47"/>
      <c r="D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idden="1" x14ac:dyDescent="0.2">
      <c r="A82" s="47"/>
      <c r="B82" s="47"/>
      <c r="C82" s="47"/>
      <c r="D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idden="1" x14ac:dyDescent="0.2">
      <c r="A83" s="47"/>
      <c r="B83" s="47"/>
      <c r="C83" s="47"/>
      <c r="D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idden="1" x14ac:dyDescent="0.2">
      <c r="A84" s="47"/>
      <c r="B84" s="47"/>
      <c r="C84" s="47"/>
      <c r="D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idden="1" x14ac:dyDescent="0.2">
      <c r="A85" s="47"/>
      <c r="B85" s="47"/>
      <c r="C85" s="47"/>
      <c r="D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idden="1" x14ac:dyDescent="0.2">
      <c r="A86" s="47"/>
      <c r="B86" s="47"/>
      <c r="C86" s="47"/>
      <c r="D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hidden="1" x14ac:dyDescent="0.2">
      <c r="A87" s="47"/>
      <c r="B87" s="47"/>
      <c r="C87" s="47"/>
      <c r="D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idden="1" x14ac:dyDescent="0.2">
      <c r="A88" s="47"/>
      <c r="B88" s="47"/>
      <c r="C88" s="47"/>
      <c r="D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idden="1" x14ac:dyDescent="0.2">
      <c r="A89" s="47"/>
      <c r="B89" s="47"/>
      <c r="C89" s="47"/>
      <c r="D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idden="1" x14ac:dyDescent="0.2">
      <c r="A90" s="47"/>
      <c r="B90" s="47"/>
      <c r="C90" s="47"/>
      <c r="D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idden="1" x14ac:dyDescent="0.2">
      <c r="A91" s="47"/>
      <c r="B91" s="47"/>
      <c r="C91" s="47"/>
      <c r="D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5" hidden="1" x14ac:dyDescent="0.2">
      <c r="A92" s="47"/>
      <c r="B92" s="47"/>
      <c r="C92" s="47"/>
      <c r="D92" s="47"/>
      <c r="E92" s="20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idden="1" x14ac:dyDescent="0.2">
      <c r="A93" s="47"/>
      <c r="B93" s="47"/>
      <c r="C93" s="47"/>
      <c r="D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idden="1" x14ac:dyDescent="0.2">
      <c r="A94" s="47"/>
      <c r="B94" s="47"/>
      <c r="C94" s="47"/>
      <c r="D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idden="1" x14ac:dyDescent="0.2">
      <c r="A95" s="47"/>
      <c r="B95" s="47"/>
      <c r="C95" s="47"/>
      <c r="D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idden="1" x14ac:dyDescent="0.2">
      <c r="A96" s="47"/>
      <c r="B96" s="47"/>
      <c r="C96" s="47"/>
      <c r="D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hidden="1" x14ac:dyDescent="0.2">
      <c r="A97" s="47"/>
      <c r="B97" s="47"/>
      <c r="C97" s="47"/>
      <c r="D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idden="1" x14ac:dyDescent="0.2">
      <c r="A98" s="47"/>
      <c r="B98" s="47"/>
      <c r="C98" s="47"/>
      <c r="D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hidden="1" x14ac:dyDescent="0.2">
      <c r="A99" s="47"/>
      <c r="B99" s="47"/>
      <c r="C99" s="47"/>
      <c r="D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hidden="1" x14ac:dyDescent="0.2">
      <c r="A100" s="47"/>
      <c r="B100" s="47"/>
      <c r="C100" s="47"/>
      <c r="D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hidden="1" x14ac:dyDescent="0.2">
      <c r="A101" s="47"/>
      <c r="B101" s="47"/>
      <c r="C101" s="47"/>
      <c r="D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hidden="1" x14ac:dyDescent="0.2">
      <c r="A102" s="47"/>
      <c r="B102" s="47"/>
      <c r="C102" s="47"/>
      <c r="D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hidden="1" x14ac:dyDescent="0.2">
      <c r="A103" s="47"/>
      <c r="B103" s="47"/>
      <c r="C103" s="47"/>
      <c r="D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hidden="1" x14ac:dyDescent="0.2">
      <c r="A104" s="47"/>
      <c r="B104" s="47"/>
      <c r="C104" s="47"/>
      <c r="D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hidden="1" x14ac:dyDescent="0.2">
      <c r="A105" s="47"/>
      <c r="B105" s="47"/>
      <c r="C105" s="47"/>
      <c r="D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hidden="1" x14ac:dyDescent="0.2">
      <c r="A106" s="47"/>
      <c r="B106" s="47"/>
      <c r="C106" s="47"/>
      <c r="D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hidden="1" x14ac:dyDescent="0.2">
      <c r="A107" s="47"/>
      <c r="B107" s="47"/>
      <c r="C107" s="47"/>
      <c r="D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hidden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hidden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hidden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hidden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hidden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idden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idden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hidden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hidden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hidden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hidden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72</v>
      </c>
      <c r="B1" s="5"/>
      <c r="C1" s="5"/>
      <c r="D1" s="5"/>
      <c r="E1" s="5"/>
      <c r="F1" s="5"/>
      <c r="G1" s="5"/>
    </row>
    <row r="2" spans="1:18" ht="15.75" x14ac:dyDescent="0.25">
      <c r="A2" s="36" t="s">
        <v>138</v>
      </c>
      <c r="B2" s="37"/>
      <c r="C2" s="37"/>
      <c r="D2" s="37"/>
      <c r="E2" s="37"/>
      <c r="F2" s="37"/>
      <c r="G2" s="37"/>
    </row>
    <row r="3" spans="1:18" x14ac:dyDescent="0.2">
      <c r="A3" s="1" t="s">
        <v>1</v>
      </c>
    </row>
    <row r="4" spans="1:18" ht="15" x14ac:dyDescent="0.2">
      <c r="A4" s="2" t="s">
        <v>3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4" t="s">
        <v>74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4" t="s">
        <v>75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5" t="s">
        <v>76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77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78</v>
      </c>
      <c r="C12" s="18"/>
      <c r="D12" s="18"/>
      <c r="E12" s="18"/>
      <c r="F12" s="275"/>
      <c r="G12" s="275"/>
      <c r="H12" s="275"/>
      <c r="I12" s="275"/>
      <c r="J12" s="275"/>
      <c r="K12" s="275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79</v>
      </c>
      <c r="C13" s="18"/>
      <c r="D13" s="18"/>
      <c r="E13" s="18"/>
      <c r="F13" s="277">
        <v>44153</v>
      </c>
      <c r="G13" s="278"/>
      <c r="H13" s="278"/>
      <c r="I13" s="278"/>
      <c r="J13" s="278"/>
      <c r="K13" s="278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76" t="s">
        <v>80</v>
      </c>
      <c r="C14" s="276"/>
      <c r="D14" s="276"/>
      <c r="E14" s="276"/>
      <c r="F14" s="277"/>
      <c r="G14" s="278"/>
      <c r="H14" s="278"/>
      <c r="I14" s="278"/>
      <c r="J14" s="278"/>
      <c r="K14" s="278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76" t="s">
        <v>81</v>
      </c>
      <c r="C15" s="276"/>
      <c r="D15" s="276"/>
      <c r="E15" s="276"/>
      <c r="F15" s="277"/>
      <c r="G15" s="278"/>
      <c r="H15" s="278"/>
      <c r="I15" s="278"/>
      <c r="J15" s="278"/>
      <c r="K15" s="278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82</v>
      </c>
      <c r="C16" s="18"/>
      <c r="D16" s="18"/>
      <c r="E16" s="18"/>
      <c r="F16" s="275"/>
      <c r="G16" s="275"/>
      <c r="H16" s="275"/>
      <c r="I16" s="275"/>
      <c r="J16" s="275"/>
      <c r="K16" s="275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83</v>
      </c>
      <c r="C17" s="18"/>
      <c r="D17" s="18"/>
      <c r="E17" s="18"/>
      <c r="F17" s="275"/>
      <c r="G17" s="275"/>
      <c r="H17" s="275"/>
      <c r="I17" s="275"/>
      <c r="J17" s="275"/>
      <c r="K17" s="275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84</v>
      </c>
      <c r="C18" s="18"/>
      <c r="D18" s="18"/>
      <c r="E18" s="18"/>
      <c r="F18" s="275"/>
      <c r="G18" s="275"/>
      <c r="H18" s="275"/>
      <c r="I18" s="275"/>
      <c r="J18" s="275"/>
      <c r="K18" s="275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76" t="s">
        <v>85</v>
      </c>
      <c r="C19" s="276"/>
      <c r="D19" s="276"/>
      <c r="E19" s="276"/>
      <c r="F19" s="279"/>
      <c r="G19" s="275"/>
      <c r="H19" s="275"/>
      <c r="I19" s="275"/>
      <c r="J19" s="275"/>
      <c r="K19" s="275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76" t="s">
        <v>86</v>
      </c>
      <c r="C20" s="276"/>
      <c r="D20" s="276"/>
      <c r="E20" s="276"/>
      <c r="F20" s="277"/>
      <c r="G20" s="278"/>
      <c r="H20" s="278"/>
      <c r="I20" s="278"/>
      <c r="J20" s="278"/>
      <c r="K20" s="278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87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88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89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90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91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92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93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94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96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95</v>
      </c>
      <c r="C31" s="29"/>
      <c r="D31" s="30">
        <v>8</v>
      </c>
      <c r="E31" s="8" t="s">
        <v>97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98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99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100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101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102</v>
      </c>
      <c r="G36" s="280"/>
      <c r="H36" s="280"/>
      <c r="I36" s="280"/>
      <c r="J36" s="280"/>
      <c r="K36" s="280"/>
      <c r="L36" s="280"/>
      <c r="M36" s="280"/>
      <c r="N36" s="280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103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104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105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106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95</v>
      </c>
      <c r="C43" s="13" t="str">
        <f>IF(B43="x"," ","nc")</f>
        <v xml:space="preserve"> </v>
      </c>
      <c r="D43" s="30">
        <v>1</v>
      </c>
      <c r="E43" s="8" t="s">
        <v>108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110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112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95</v>
      </c>
      <c r="C46" s="13" t="str">
        <f t="shared" si="0"/>
        <v xml:space="preserve"> </v>
      </c>
      <c r="D46" s="30">
        <v>4</v>
      </c>
      <c r="E46" s="8" t="s">
        <v>114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95</v>
      </c>
      <c r="C47" s="13" t="str">
        <f t="shared" si="0"/>
        <v xml:space="preserve"> </v>
      </c>
      <c r="D47" s="30">
        <v>5</v>
      </c>
      <c r="E47" s="8" t="s">
        <v>116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118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120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121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122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123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124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125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126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127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128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95</v>
      </c>
      <c r="C58" s="13" t="str">
        <f t="shared" si="0"/>
        <v xml:space="preserve"> </v>
      </c>
      <c r="D58" s="30">
        <v>16</v>
      </c>
      <c r="E58" s="8" t="s">
        <v>129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130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131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132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95</v>
      </c>
      <c r="C62" s="13" t="str">
        <f t="shared" si="0"/>
        <v xml:space="preserve"> </v>
      </c>
      <c r="D62" s="30">
        <v>20</v>
      </c>
      <c r="E62" s="8" t="s">
        <v>133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134</v>
      </c>
      <c r="F63" s="4"/>
      <c r="G63" s="32"/>
      <c r="H63" s="32"/>
      <c r="I63" s="32"/>
      <c r="J63" s="32"/>
      <c r="K63" s="32"/>
      <c r="L63" s="32"/>
      <c r="M63" s="32"/>
      <c r="N63" s="32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135</v>
      </c>
      <c r="F64" s="4"/>
      <c r="G64" s="32"/>
      <c r="H64" s="32"/>
      <c r="I64" s="32"/>
      <c r="J64" s="32"/>
      <c r="K64" s="32"/>
      <c r="L64" s="32"/>
      <c r="M64" s="32"/>
      <c r="N64" s="32"/>
      <c r="O64" s="4"/>
      <c r="P64" s="4"/>
      <c r="Q64" s="4"/>
      <c r="R64" s="4"/>
    </row>
    <row r="65" spans="1:18" ht="15" x14ac:dyDescent="0.2">
      <c r="A65" s="4"/>
      <c r="B65" s="151" t="s">
        <v>139</v>
      </c>
      <c r="C65" s="13" t="str">
        <f t="shared" si="0"/>
        <v xml:space="preserve"> </v>
      </c>
      <c r="D65" s="30">
        <v>23</v>
      </c>
      <c r="E65" s="8" t="s">
        <v>140</v>
      </c>
      <c r="F65" s="4"/>
      <c r="G65" s="32"/>
      <c r="H65" s="32"/>
      <c r="I65" s="32"/>
      <c r="J65" s="32"/>
      <c r="K65" s="32"/>
      <c r="L65" s="32"/>
      <c r="M65" s="32"/>
      <c r="N65" s="32"/>
      <c r="O65" s="4"/>
      <c r="P65" s="4"/>
      <c r="Q65" s="4"/>
      <c r="R65" s="4"/>
    </row>
    <row r="66" spans="1:18" ht="15" x14ac:dyDescent="0.2">
      <c r="A66" s="4"/>
      <c r="B66" s="151" t="s">
        <v>95</v>
      </c>
      <c r="C66" s="13" t="str">
        <f t="shared" si="0"/>
        <v xml:space="preserve"> </v>
      </c>
      <c r="D66" s="30">
        <v>24</v>
      </c>
      <c r="E66" s="8" t="s">
        <v>141</v>
      </c>
      <c r="F66" s="4"/>
      <c r="G66" s="32"/>
      <c r="H66" s="32"/>
      <c r="I66" s="32"/>
      <c r="J66" s="32"/>
      <c r="K66" s="32"/>
      <c r="L66" s="32"/>
      <c r="M66" s="32"/>
      <c r="N66" s="32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136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81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4"/>
      <c r="P69" s="4"/>
      <c r="Q69" s="4"/>
      <c r="R69" s="4"/>
    </row>
    <row r="70" spans="1:18" x14ac:dyDescent="0.2">
      <c r="A70" s="4"/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4"/>
      <c r="P70" s="4"/>
      <c r="Q70" s="4"/>
      <c r="R70" s="4"/>
    </row>
    <row r="71" spans="1:18" x14ac:dyDescent="0.2">
      <c r="A71" s="4"/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4"/>
      <c r="P71" s="4"/>
      <c r="Q71" s="4"/>
      <c r="R71" s="4"/>
    </row>
    <row r="72" spans="1:18" x14ac:dyDescent="0.2">
      <c r="A72" s="4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4"/>
      <c r="P72" s="4"/>
      <c r="Q72" s="4"/>
      <c r="R72" s="4"/>
    </row>
    <row r="73" spans="1:18" x14ac:dyDescent="0.2">
      <c r="A73" s="4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4"/>
      <c r="P73" s="4"/>
      <c r="Q73" s="4"/>
      <c r="R73" s="4"/>
    </row>
    <row r="74" spans="1:18" x14ac:dyDescent="0.2">
      <c r="A74" s="4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4"/>
      <c r="P74" s="4"/>
      <c r="Q74" s="4"/>
      <c r="R74" s="4"/>
    </row>
    <row r="75" spans="1:18" ht="18" x14ac:dyDescent="0.25">
      <c r="A75" s="4"/>
      <c r="B75" s="21" t="s">
        <v>137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81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4"/>
      <c r="P76" s="4"/>
      <c r="Q76" s="4"/>
      <c r="R76" s="4"/>
    </row>
    <row r="77" spans="1:18" x14ac:dyDescent="0.2">
      <c r="A77" s="4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4"/>
      <c r="P77" s="4"/>
      <c r="Q77" s="4"/>
      <c r="R77" s="4"/>
    </row>
    <row r="78" spans="1:18" x14ac:dyDescent="0.2">
      <c r="A78" s="4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4"/>
      <c r="P78" s="4"/>
      <c r="Q78" s="4"/>
      <c r="R78" s="4"/>
    </row>
    <row r="79" spans="1:18" x14ac:dyDescent="0.2">
      <c r="A79" s="4"/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4"/>
      <c r="P79" s="4"/>
      <c r="Q79" s="4"/>
      <c r="R79" s="4"/>
    </row>
    <row r="80" spans="1:18" x14ac:dyDescent="0.2">
      <c r="A80" s="4"/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9" customWidth="1"/>
    <col min="2" max="2" width="9.140625" style="39"/>
    <col min="3" max="5" width="10" style="39" customWidth="1"/>
    <col min="6" max="6" width="13.28515625" style="39" customWidth="1"/>
    <col min="7" max="8" width="10.140625" style="39" bestFit="1" customWidth="1"/>
    <col min="9" max="12" width="9.140625" style="39"/>
    <col min="13" max="13" width="1.42578125" style="39" customWidth="1"/>
    <col min="14" max="16384" width="9.140625" style="39"/>
  </cols>
  <sheetData>
    <row r="1" spans="1:15" ht="18" x14ac:dyDescent="0.25">
      <c r="A1" s="38" t="s">
        <v>142</v>
      </c>
      <c r="B1" s="38"/>
      <c r="C1" s="38"/>
      <c r="E1" s="152" t="s">
        <v>143</v>
      </c>
    </row>
    <row r="2" spans="1:15" ht="15.75" x14ac:dyDescent="0.25">
      <c r="A2" s="41" t="str">
        <f>Facilities!A2</f>
        <v>Founders Classical Academy</v>
      </c>
      <c r="B2" s="42"/>
      <c r="C2" s="42"/>
    </row>
    <row r="3" spans="1:15" x14ac:dyDescent="0.2">
      <c r="A3" s="44" t="s">
        <v>1</v>
      </c>
    </row>
    <row r="4" spans="1:15" x14ac:dyDescent="0.2">
      <c r="A4" s="45" t="s">
        <v>3</v>
      </c>
    </row>
    <row r="5" spans="1:15" x14ac:dyDescent="0.2">
      <c r="A5" s="46"/>
    </row>
    <row r="6" spans="1:1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.75" x14ac:dyDescent="0.2">
      <c r="A7" s="47"/>
      <c r="B7" s="90" t="s">
        <v>144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 x14ac:dyDescent="0.2">
      <c r="B8" s="91" t="s">
        <v>145</v>
      </c>
      <c r="F8" s="92">
        <v>2014</v>
      </c>
      <c r="G8" s="47"/>
      <c r="J8" s="47"/>
      <c r="K8" s="47"/>
      <c r="L8" s="47"/>
      <c r="M8" s="47"/>
    </row>
    <row r="9" spans="1:15" ht="15.75" x14ac:dyDescent="0.2">
      <c r="B9" s="91"/>
      <c r="C9" s="93"/>
      <c r="D9" s="94"/>
      <c r="E9" s="94"/>
      <c r="G9" s="47"/>
      <c r="J9" s="47"/>
      <c r="K9" s="47"/>
      <c r="L9" s="47"/>
      <c r="M9" s="47"/>
    </row>
    <row r="10" spans="1:15" x14ac:dyDescent="0.2">
      <c r="B10" s="95"/>
      <c r="D10" s="47"/>
      <c r="E10" s="47"/>
      <c r="F10" s="47"/>
      <c r="G10" s="47"/>
      <c r="J10" s="47"/>
      <c r="K10" s="47"/>
      <c r="L10" s="47"/>
      <c r="M10" s="47"/>
    </row>
    <row r="11" spans="1:15" ht="15.75" x14ac:dyDescent="0.2">
      <c r="B11" s="96" t="s">
        <v>146</v>
      </c>
      <c r="C11" s="48"/>
      <c r="D11" s="43"/>
      <c r="E11" s="43"/>
      <c r="F11" s="43"/>
      <c r="G11" s="43"/>
      <c r="H11" s="43"/>
      <c r="I11" s="43"/>
      <c r="J11" s="43"/>
      <c r="K11" s="43"/>
      <c r="M11" s="47"/>
    </row>
    <row r="12" spans="1:15" x14ac:dyDescent="0.2">
      <c r="B12" s="97"/>
      <c r="C12" s="48"/>
      <c r="D12" s="43"/>
      <c r="E12" s="43"/>
      <c r="F12" s="43"/>
      <c r="G12" s="43"/>
      <c r="H12" s="43"/>
      <c r="I12" s="43"/>
      <c r="J12" s="43"/>
      <c r="K12" s="43"/>
      <c r="M12" s="47"/>
    </row>
    <row r="13" spans="1:15" x14ac:dyDescent="0.2">
      <c r="B13" s="97"/>
      <c r="C13" s="98">
        <v>1</v>
      </c>
      <c r="D13" s="98">
        <f>1+C13</f>
        <v>2</v>
      </c>
      <c r="E13" s="98">
        <f t="shared" ref="E13:H13" si="0">1+D13</f>
        <v>3</v>
      </c>
      <c r="F13" s="98">
        <f t="shared" si="0"/>
        <v>4</v>
      </c>
      <c r="G13" s="98">
        <f t="shared" si="0"/>
        <v>5</v>
      </c>
      <c r="H13" s="98">
        <f t="shared" si="0"/>
        <v>6</v>
      </c>
      <c r="I13" s="43"/>
      <c r="J13" s="43"/>
      <c r="K13" s="43"/>
      <c r="M13" s="47"/>
    </row>
    <row r="14" spans="1:15" ht="14.25" x14ac:dyDescent="0.2">
      <c r="B14" s="99" t="s">
        <v>147</v>
      </c>
      <c r="C14" s="100">
        <f>+F8</f>
        <v>2014</v>
      </c>
      <c r="D14" s="101">
        <f>+C14+1</f>
        <v>2015</v>
      </c>
      <c r="E14" s="101">
        <f t="shared" ref="E14:H14" si="1">+D14+1</f>
        <v>2016</v>
      </c>
      <c r="F14" s="101">
        <f t="shared" si="1"/>
        <v>2017</v>
      </c>
      <c r="G14" s="101">
        <f t="shared" si="1"/>
        <v>2018</v>
      </c>
      <c r="H14" s="102">
        <f t="shared" si="1"/>
        <v>2019</v>
      </c>
      <c r="I14" s="43"/>
      <c r="J14" s="43"/>
      <c r="K14" s="43"/>
      <c r="M14" s="47"/>
    </row>
    <row r="15" spans="1:15" ht="15" x14ac:dyDescent="0.2">
      <c r="B15" s="103" t="s">
        <v>148</v>
      </c>
      <c r="C15" s="104">
        <v>3</v>
      </c>
      <c r="D15" s="104">
        <v>3</v>
      </c>
      <c r="E15" s="104">
        <v>3</v>
      </c>
      <c r="F15" s="104">
        <v>1</v>
      </c>
      <c r="G15" s="104">
        <v>1</v>
      </c>
      <c r="H15" s="105">
        <v>1</v>
      </c>
      <c r="I15" s="43"/>
      <c r="J15" s="43"/>
      <c r="K15" s="43"/>
      <c r="M15" s="47"/>
    </row>
    <row r="16" spans="1:15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7"/>
      <c r="O16" s="106" t="s">
        <v>149</v>
      </c>
    </row>
    <row r="17" spans="1:15" ht="15.75" x14ac:dyDescent="0.2">
      <c r="B17" s="96" t="s">
        <v>150</v>
      </c>
      <c r="C17" s="43"/>
      <c r="D17" s="48"/>
      <c r="E17" s="48"/>
      <c r="F17" s="48"/>
      <c r="G17" s="48"/>
      <c r="H17" s="48"/>
      <c r="I17" s="48"/>
      <c r="J17" s="48"/>
      <c r="K17" s="48"/>
      <c r="L17" s="107"/>
      <c r="M17" s="47"/>
      <c r="O17" s="106" t="s">
        <v>151</v>
      </c>
    </row>
    <row r="18" spans="1:15" ht="13.5" thickBot="1" x14ac:dyDescent="0.25">
      <c r="B18" s="43"/>
      <c r="C18" s="97"/>
      <c r="D18" s="48"/>
      <c r="E18" s="48"/>
      <c r="F18" s="48"/>
      <c r="G18" s="48"/>
      <c r="H18" s="48"/>
      <c r="I18" s="48"/>
      <c r="J18" s="48"/>
      <c r="K18" s="48"/>
      <c r="L18" s="107"/>
      <c r="M18" s="47"/>
      <c r="O18" s="106" t="s">
        <v>152</v>
      </c>
    </row>
    <row r="19" spans="1:15" ht="13.5" thickBot="1" x14ac:dyDescent="0.25">
      <c r="B19" s="108" t="s">
        <v>147</v>
      </c>
      <c r="C19" s="109" t="s">
        <v>153</v>
      </c>
      <c r="D19" s="110"/>
      <c r="E19" s="110"/>
      <c r="F19" s="110"/>
      <c r="G19" s="110"/>
      <c r="H19" s="110"/>
      <c r="I19" s="111"/>
      <c r="J19" s="112" t="s">
        <v>154</v>
      </c>
      <c r="K19" s="113"/>
      <c r="L19" s="114"/>
      <c r="M19" s="47"/>
      <c r="O19" s="106" t="s">
        <v>155</v>
      </c>
    </row>
    <row r="20" spans="1:15" x14ac:dyDescent="0.2">
      <c r="B20" s="115"/>
      <c r="C20" s="116" t="s">
        <v>156</v>
      </c>
      <c r="D20" s="117" t="s">
        <v>157</v>
      </c>
      <c r="E20" s="117" t="s">
        <v>158</v>
      </c>
      <c r="F20" s="117" t="s">
        <v>159</v>
      </c>
      <c r="G20" s="117" t="s">
        <v>160</v>
      </c>
      <c r="H20" s="117" t="s">
        <v>161</v>
      </c>
      <c r="I20" s="118" t="s">
        <v>162</v>
      </c>
      <c r="J20" s="116" t="s">
        <v>163</v>
      </c>
      <c r="K20" s="117" t="s">
        <v>164</v>
      </c>
      <c r="L20" s="119" t="s">
        <v>165</v>
      </c>
      <c r="M20" s="47"/>
      <c r="O20" s="106" t="s">
        <v>166</v>
      </c>
    </row>
    <row r="21" spans="1:15" x14ac:dyDescent="0.2">
      <c r="A21" s="120"/>
      <c r="B21" s="121">
        <f>+F8</f>
        <v>2014</v>
      </c>
      <c r="C21" s="122">
        <v>4.9689440993788817E-2</v>
      </c>
      <c r="D21" s="122">
        <v>0</v>
      </c>
      <c r="E21" s="122">
        <v>0.72049689440993792</v>
      </c>
      <c r="F21" s="122">
        <v>0.16149068322981366</v>
      </c>
      <c r="G21" s="122">
        <v>0</v>
      </c>
      <c r="H21" s="122">
        <v>6.2111801242236024E-2</v>
      </c>
      <c r="I21" s="122">
        <v>6.2111801242236021E-3</v>
      </c>
      <c r="J21" s="122">
        <v>0</v>
      </c>
      <c r="K21" s="122">
        <v>6.2111801242236024E-2</v>
      </c>
      <c r="L21" s="123">
        <v>6.2111801242236021E-3</v>
      </c>
      <c r="M21" s="47"/>
      <c r="O21" s="106" t="s">
        <v>167</v>
      </c>
    </row>
    <row r="22" spans="1:15" x14ac:dyDescent="0.2">
      <c r="B22" s="121">
        <f>+B21+1</f>
        <v>2015</v>
      </c>
      <c r="C22" s="124">
        <v>5.1118210862619806E-2</v>
      </c>
      <c r="D22" s="124">
        <v>6.3897763578274758E-3</v>
      </c>
      <c r="E22" s="124">
        <v>0.74281150159744413</v>
      </c>
      <c r="F22" s="124">
        <v>0.12939297124600638</v>
      </c>
      <c r="G22" s="124">
        <v>3.1948881789137379E-3</v>
      </c>
      <c r="H22" s="124">
        <v>6.0702875399361013E-2</v>
      </c>
      <c r="I22" s="124">
        <v>6.3897763578274758E-3</v>
      </c>
      <c r="J22" s="124">
        <v>6.5495207667731634E-2</v>
      </c>
      <c r="K22" s="124">
        <v>9.2651757188498399E-2</v>
      </c>
      <c r="L22" s="125">
        <v>7.9872204472843447E-3</v>
      </c>
      <c r="M22" s="47"/>
      <c r="O22" s="106" t="s">
        <v>168</v>
      </c>
    </row>
    <row r="23" spans="1:15" x14ac:dyDescent="0.2">
      <c r="B23" s="121">
        <f t="shared" ref="B23:B26" si="2">+B22+1</f>
        <v>2016</v>
      </c>
      <c r="C23" s="124">
        <v>3.6999999999999998E-2</v>
      </c>
      <c r="D23" s="124">
        <v>0.113</v>
      </c>
      <c r="E23" s="124">
        <v>0.443</v>
      </c>
      <c r="F23" s="124">
        <v>0.33200000000000002</v>
      </c>
      <c r="G23" s="124">
        <v>0</v>
      </c>
      <c r="H23" s="124">
        <v>0.06</v>
      </c>
      <c r="I23" s="124">
        <v>2.1999999999999999E-2</v>
      </c>
      <c r="J23" s="124">
        <v>0.46</v>
      </c>
      <c r="K23" s="124">
        <v>0.12</v>
      </c>
      <c r="L23" s="125">
        <v>0</v>
      </c>
      <c r="M23" s="47"/>
      <c r="O23" s="106" t="s">
        <v>169</v>
      </c>
    </row>
    <row r="24" spans="1:15" x14ac:dyDescent="0.2">
      <c r="B24" s="121">
        <f t="shared" si="2"/>
        <v>2017</v>
      </c>
      <c r="C24" s="124">
        <v>0</v>
      </c>
      <c r="D24" s="124">
        <v>0.124</v>
      </c>
      <c r="E24" s="124">
        <v>0.433</v>
      </c>
      <c r="F24" s="124">
        <v>0.31</v>
      </c>
      <c r="G24" s="124">
        <v>0</v>
      </c>
      <c r="H24" s="124">
        <v>0.06</v>
      </c>
      <c r="I24" s="124">
        <v>0</v>
      </c>
      <c r="J24" s="124">
        <v>0.3</v>
      </c>
      <c r="K24" s="124">
        <v>0.15</v>
      </c>
      <c r="L24" s="125">
        <v>0.04</v>
      </c>
      <c r="M24" s="47"/>
      <c r="O24" s="106"/>
    </row>
    <row r="25" spans="1:15" x14ac:dyDescent="0.2">
      <c r="B25" s="121">
        <f t="shared" si="2"/>
        <v>2018</v>
      </c>
      <c r="C25" s="124">
        <v>3.6999999999999998E-2</v>
      </c>
      <c r="D25" s="124">
        <v>0.17899999999999999</v>
      </c>
      <c r="E25" s="124">
        <v>0.33600000000000002</v>
      </c>
      <c r="F25" s="124">
        <v>0.375</v>
      </c>
      <c r="G25" s="124">
        <v>9.9000000000000008E-3</v>
      </c>
      <c r="H25" s="124">
        <v>0.05</v>
      </c>
      <c r="I25" s="124">
        <v>3.1E-2</v>
      </c>
      <c r="J25" s="124">
        <v>0.56999999999999995</v>
      </c>
      <c r="K25" s="124">
        <v>0.18</v>
      </c>
      <c r="L25" s="125">
        <v>0.1</v>
      </c>
      <c r="M25" s="47"/>
      <c r="O25" s="106"/>
    </row>
    <row r="26" spans="1:15" x14ac:dyDescent="0.2">
      <c r="B26" s="126">
        <f t="shared" si="2"/>
        <v>2019</v>
      </c>
      <c r="C26" s="127">
        <v>0</v>
      </c>
      <c r="D26" s="127">
        <v>0.153</v>
      </c>
      <c r="E26" s="127">
        <v>0.28199999999999997</v>
      </c>
      <c r="F26" s="127">
        <v>0.435</v>
      </c>
      <c r="G26" s="127">
        <v>0</v>
      </c>
      <c r="H26" s="127">
        <v>0.06</v>
      </c>
      <c r="I26" s="127">
        <v>2.7E-2</v>
      </c>
      <c r="J26" s="127">
        <v>0.66</v>
      </c>
      <c r="K26" s="127">
        <v>0.2</v>
      </c>
      <c r="L26" s="128">
        <v>0.13</v>
      </c>
      <c r="M26" s="47"/>
      <c r="O26" s="106" t="s">
        <v>170</v>
      </c>
    </row>
    <row r="27" spans="1:15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06"/>
      <c r="M27" s="47"/>
      <c r="O27" s="106" t="s">
        <v>171</v>
      </c>
    </row>
    <row r="28" spans="1:15" ht="15.75" x14ac:dyDescent="0.2">
      <c r="B28" s="96" t="s">
        <v>172</v>
      </c>
      <c r="C28" s="48"/>
      <c r="D28" s="48"/>
      <c r="E28" s="48"/>
      <c r="F28" s="48"/>
      <c r="G28" s="43"/>
      <c r="H28" s="43"/>
      <c r="I28" s="43"/>
      <c r="J28" s="43"/>
      <c r="K28" s="43"/>
      <c r="L28" s="106"/>
      <c r="M28" s="47"/>
    </row>
    <row r="29" spans="1:15" x14ac:dyDescent="0.2">
      <c r="B29" s="97"/>
      <c r="C29" s="48"/>
      <c r="D29" s="48"/>
      <c r="E29" s="48"/>
      <c r="F29" s="48"/>
      <c r="G29" s="43"/>
      <c r="H29" s="43"/>
      <c r="I29" s="43"/>
      <c r="J29" s="43"/>
      <c r="K29" s="43"/>
      <c r="L29" s="106"/>
    </row>
    <row r="30" spans="1:15" ht="14.25" x14ac:dyDescent="0.2">
      <c r="B30" s="129" t="s">
        <v>173</v>
      </c>
      <c r="C30" s="100">
        <f>+F8</f>
        <v>2014</v>
      </c>
      <c r="D30" s="100">
        <f>1+C30</f>
        <v>2015</v>
      </c>
      <c r="E30" s="100">
        <f t="shared" ref="E30:H30" si="3">1+D30</f>
        <v>2016</v>
      </c>
      <c r="F30" s="100">
        <f t="shared" si="3"/>
        <v>2017</v>
      </c>
      <c r="G30" s="100">
        <f t="shared" si="3"/>
        <v>2018</v>
      </c>
      <c r="H30" s="130">
        <f t="shared" si="3"/>
        <v>2019</v>
      </c>
      <c r="I30" s="43"/>
      <c r="J30" s="43"/>
      <c r="K30" s="43"/>
      <c r="L30" s="106"/>
    </row>
    <row r="31" spans="1:15" x14ac:dyDescent="0.2">
      <c r="B31" s="131" t="s">
        <v>174</v>
      </c>
      <c r="C31" s="132"/>
      <c r="D31" s="132"/>
      <c r="E31" s="132"/>
      <c r="F31" s="132"/>
      <c r="G31" s="132"/>
      <c r="H31" s="133"/>
      <c r="I31" s="43"/>
      <c r="J31" s="43"/>
      <c r="K31" s="43"/>
      <c r="L31" s="106"/>
    </row>
    <row r="32" spans="1:15" x14ac:dyDescent="0.2">
      <c r="B32" s="134">
        <v>9</v>
      </c>
      <c r="C32" s="135">
        <v>77</v>
      </c>
      <c r="D32" s="135">
        <v>51</v>
      </c>
      <c r="E32" s="135">
        <v>34</v>
      </c>
      <c r="F32" s="135">
        <v>23</v>
      </c>
      <c r="G32" s="135">
        <v>5</v>
      </c>
      <c r="H32" s="136">
        <v>5</v>
      </c>
      <c r="I32" s="43"/>
      <c r="J32" s="43"/>
      <c r="K32" s="43"/>
      <c r="L32" s="106"/>
    </row>
    <row r="33" spans="2:15" x14ac:dyDescent="0.2">
      <c r="B33" s="137" t="s">
        <v>175</v>
      </c>
      <c r="C33" s="138">
        <f t="shared" ref="C33:H33" si="4">+C32/C$50</f>
        <v>0.19154228855721392</v>
      </c>
      <c r="D33" s="138">
        <f t="shared" si="4"/>
        <v>9.3577981651376152E-2</v>
      </c>
      <c r="E33" s="138">
        <f t="shared" si="4"/>
        <v>8.2524271844660199E-2</v>
      </c>
      <c r="F33" s="138">
        <f t="shared" si="4"/>
        <v>5.721393034825871E-2</v>
      </c>
      <c r="G33" s="138">
        <f t="shared" si="4"/>
        <v>1.2987012987012988E-2</v>
      </c>
      <c r="H33" s="138">
        <f t="shared" si="4"/>
        <v>1.2345679012345678E-2</v>
      </c>
      <c r="I33" s="48"/>
      <c r="J33" s="48"/>
      <c r="K33" s="48"/>
      <c r="L33" s="107"/>
      <c r="M33" s="47"/>
      <c r="N33" s="47"/>
    </row>
    <row r="34" spans="2:15" x14ac:dyDescent="0.2">
      <c r="B34" s="137">
        <v>10</v>
      </c>
      <c r="C34" s="139">
        <v>117</v>
      </c>
      <c r="D34" s="139">
        <v>90</v>
      </c>
      <c r="E34" s="139">
        <v>82</v>
      </c>
      <c r="F34" s="139">
        <v>73</v>
      </c>
      <c r="G34" s="139">
        <v>37</v>
      </c>
      <c r="H34" s="140">
        <v>8</v>
      </c>
      <c r="I34" s="48"/>
      <c r="J34" s="48"/>
      <c r="K34" s="48"/>
      <c r="L34" s="107"/>
      <c r="M34" s="47"/>
      <c r="N34" s="47"/>
    </row>
    <row r="35" spans="2:15" x14ac:dyDescent="0.2">
      <c r="B35" s="137" t="s">
        <v>175</v>
      </c>
      <c r="C35" s="138">
        <f t="shared" ref="C35:H35" si="5">+C34/C$50</f>
        <v>0.29104477611940299</v>
      </c>
      <c r="D35" s="138">
        <f t="shared" si="5"/>
        <v>0.16513761467889909</v>
      </c>
      <c r="E35" s="138">
        <f t="shared" si="5"/>
        <v>0.19902912621359223</v>
      </c>
      <c r="F35" s="138">
        <f t="shared" si="5"/>
        <v>0.18159203980099503</v>
      </c>
      <c r="G35" s="138">
        <f t="shared" si="5"/>
        <v>9.6103896103896108E-2</v>
      </c>
      <c r="H35" s="138">
        <f t="shared" si="5"/>
        <v>1.9753086419753086E-2</v>
      </c>
      <c r="I35" s="48"/>
      <c r="J35" s="48"/>
      <c r="K35" s="48"/>
      <c r="L35" s="107"/>
      <c r="M35" s="47"/>
      <c r="N35" s="47"/>
    </row>
    <row r="36" spans="2:15" x14ac:dyDescent="0.2">
      <c r="B36" s="137">
        <v>11</v>
      </c>
      <c r="C36" s="139">
        <v>105</v>
      </c>
      <c r="D36" s="139">
        <v>164</v>
      </c>
      <c r="E36" s="139">
        <v>128</v>
      </c>
      <c r="F36" s="139">
        <v>123</v>
      </c>
      <c r="G36" s="139">
        <v>118</v>
      </c>
      <c r="H36" s="140">
        <v>99</v>
      </c>
      <c r="I36" s="48"/>
      <c r="J36" s="48"/>
      <c r="K36" s="48"/>
      <c r="L36" s="107"/>
      <c r="M36" s="47"/>
      <c r="N36" s="47"/>
    </row>
    <row r="37" spans="2:15" x14ac:dyDescent="0.2">
      <c r="B37" s="137" t="s">
        <v>175</v>
      </c>
      <c r="C37" s="138">
        <f t="shared" ref="C37:H37" si="6">+C36/C$50</f>
        <v>0.26119402985074625</v>
      </c>
      <c r="D37" s="138">
        <f t="shared" si="6"/>
        <v>0.30091743119266057</v>
      </c>
      <c r="E37" s="138">
        <f t="shared" si="6"/>
        <v>0.31067961165048541</v>
      </c>
      <c r="F37" s="138">
        <f t="shared" si="6"/>
        <v>0.30597014925373134</v>
      </c>
      <c r="G37" s="138">
        <f t="shared" si="6"/>
        <v>0.30649350649350648</v>
      </c>
      <c r="H37" s="138">
        <f t="shared" si="6"/>
        <v>0.24444444444444444</v>
      </c>
      <c r="I37" s="48"/>
      <c r="J37" s="48"/>
      <c r="K37" s="48"/>
      <c r="L37" s="107"/>
      <c r="M37" s="47"/>
      <c r="N37" s="47"/>
    </row>
    <row r="38" spans="2:15" x14ac:dyDescent="0.2">
      <c r="B38" s="137">
        <v>12</v>
      </c>
      <c r="C38" s="139">
        <v>103</v>
      </c>
      <c r="D38" s="139">
        <v>240</v>
      </c>
      <c r="E38" s="139">
        <v>168</v>
      </c>
      <c r="F38" s="139">
        <v>183</v>
      </c>
      <c r="G38" s="139">
        <v>225</v>
      </c>
      <c r="H38" s="140">
        <v>293</v>
      </c>
      <c r="I38" s="48"/>
      <c r="J38" s="48"/>
      <c r="K38" s="48"/>
      <c r="L38" s="107"/>
      <c r="M38" s="47"/>
      <c r="N38" s="47"/>
    </row>
    <row r="39" spans="2:15" x14ac:dyDescent="0.2">
      <c r="B39" s="137" t="s">
        <v>175</v>
      </c>
      <c r="C39" s="138">
        <f t="shared" ref="C39:H39" si="7">+C38/C$50</f>
        <v>0.25621890547263682</v>
      </c>
      <c r="D39" s="138">
        <f t="shared" si="7"/>
        <v>0.44036697247706424</v>
      </c>
      <c r="E39" s="138">
        <f t="shared" si="7"/>
        <v>0.40776699029126212</v>
      </c>
      <c r="F39" s="138">
        <f t="shared" si="7"/>
        <v>0.45522388059701491</v>
      </c>
      <c r="G39" s="138">
        <f t="shared" si="7"/>
        <v>0.58441558441558439</v>
      </c>
      <c r="H39" s="138">
        <f t="shared" si="7"/>
        <v>0.72345679012345676</v>
      </c>
      <c r="I39" s="48"/>
      <c r="J39" s="48"/>
      <c r="K39" s="48"/>
      <c r="L39" s="107"/>
      <c r="M39" s="47"/>
      <c r="N39" s="47"/>
    </row>
    <row r="40" spans="2:15" x14ac:dyDescent="0.2">
      <c r="B40" s="137"/>
      <c r="C40" s="139"/>
      <c r="D40" s="139"/>
      <c r="E40" s="139"/>
      <c r="F40" s="139"/>
      <c r="G40" s="139"/>
      <c r="H40" s="140">
        <v>0</v>
      </c>
      <c r="I40" s="48"/>
      <c r="J40" s="48"/>
      <c r="K40" s="48"/>
      <c r="L40" s="107"/>
      <c r="M40" s="47"/>
      <c r="N40" s="47"/>
      <c r="O40" s="47"/>
    </row>
    <row r="41" spans="2:15" x14ac:dyDescent="0.2">
      <c r="B41" s="137"/>
      <c r="C41" s="138"/>
      <c r="D41" s="138"/>
      <c r="E41" s="138"/>
      <c r="F41" s="138"/>
      <c r="G41" s="138"/>
      <c r="H41" s="141">
        <v>0</v>
      </c>
      <c r="I41" s="48"/>
      <c r="J41" s="48"/>
      <c r="K41" s="48"/>
      <c r="L41" s="107"/>
      <c r="M41" s="47"/>
      <c r="N41" s="47"/>
      <c r="O41" s="47"/>
    </row>
    <row r="42" spans="2:15" x14ac:dyDescent="0.2">
      <c r="B42" s="137"/>
      <c r="C42" s="139"/>
      <c r="D42" s="139"/>
      <c r="E42" s="139"/>
      <c r="F42" s="139"/>
      <c r="G42" s="139"/>
      <c r="H42" s="140">
        <v>0</v>
      </c>
      <c r="I42" s="48"/>
      <c r="J42" s="48"/>
      <c r="K42" s="48"/>
      <c r="L42" s="107"/>
      <c r="M42" s="47"/>
      <c r="N42" s="47"/>
      <c r="O42" s="47"/>
    </row>
    <row r="43" spans="2:15" x14ac:dyDescent="0.2">
      <c r="B43" s="137"/>
      <c r="C43" s="138"/>
      <c r="D43" s="138"/>
      <c r="E43" s="138"/>
      <c r="F43" s="138"/>
      <c r="G43" s="138"/>
      <c r="H43" s="141">
        <v>0</v>
      </c>
      <c r="I43" s="48"/>
      <c r="J43" s="48"/>
      <c r="K43" s="48"/>
      <c r="L43" s="107"/>
      <c r="M43" s="47"/>
      <c r="N43" s="47"/>
      <c r="O43" s="47"/>
    </row>
    <row r="44" spans="2:15" x14ac:dyDescent="0.2">
      <c r="B44" s="137"/>
      <c r="C44" s="139"/>
      <c r="D44" s="139"/>
      <c r="E44" s="139"/>
      <c r="F44" s="139"/>
      <c r="G44" s="139"/>
      <c r="H44" s="140">
        <v>0</v>
      </c>
      <c r="I44" s="48"/>
      <c r="J44" s="48"/>
      <c r="K44" s="48"/>
      <c r="L44" s="107"/>
      <c r="M44" s="47"/>
      <c r="N44" s="47"/>
      <c r="O44" s="47"/>
    </row>
    <row r="45" spans="2:15" x14ac:dyDescent="0.2">
      <c r="B45" s="137"/>
      <c r="C45" s="138"/>
      <c r="D45" s="138"/>
      <c r="E45" s="138"/>
      <c r="F45" s="138"/>
      <c r="G45" s="138"/>
      <c r="H45" s="141">
        <v>0</v>
      </c>
      <c r="I45" s="48"/>
      <c r="J45" s="48"/>
      <c r="K45" s="48"/>
      <c r="L45" s="107"/>
      <c r="M45" s="47"/>
      <c r="N45" s="47"/>
      <c r="O45" s="47"/>
    </row>
    <row r="46" spans="2:15" x14ac:dyDescent="0.2">
      <c r="B46" s="137"/>
      <c r="C46" s="139"/>
      <c r="D46" s="139"/>
      <c r="E46" s="139"/>
      <c r="F46" s="139"/>
      <c r="G46" s="139"/>
      <c r="H46" s="140">
        <v>0</v>
      </c>
      <c r="I46" s="48"/>
      <c r="J46" s="48"/>
      <c r="K46" s="48"/>
      <c r="L46" s="107"/>
      <c r="M46" s="47"/>
      <c r="N46" s="47"/>
    </row>
    <row r="47" spans="2:15" x14ac:dyDescent="0.2">
      <c r="B47" s="142"/>
      <c r="C47" s="138"/>
      <c r="D47" s="138"/>
      <c r="E47" s="138"/>
      <c r="F47" s="138"/>
      <c r="G47" s="138"/>
      <c r="H47" s="141">
        <v>0</v>
      </c>
      <c r="I47" s="48"/>
      <c r="J47" s="48"/>
      <c r="K47" s="48"/>
      <c r="L47" s="107"/>
      <c r="M47" s="47"/>
      <c r="N47" s="47"/>
    </row>
    <row r="48" spans="2:15" x14ac:dyDescent="0.2">
      <c r="B48" s="137"/>
      <c r="C48" s="139"/>
      <c r="D48" s="139"/>
      <c r="E48" s="139"/>
      <c r="F48" s="139"/>
      <c r="G48" s="139"/>
      <c r="H48" s="140">
        <v>0</v>
      </c>
      <c r="I48" s="48"/>
      <c r="J48" s="48"/>
      <c r="K48" s="48"/>
      <c r="L48" s="107"/>
    </row>
    <row r="49" spans="1:15" x14ac:dyDescent="0.2">
      <c r="B49" s="143"/>
      <c r="C49" s="138"/>
      <c r="D49" s="138"/>
      <c r="E49" s="138"/>
      <c r="F49" s="138"/>
      <c r="G49" s="138"/>
      <c r="H49" s="144">
        <v>0</v>
      </c>
      <c r="I49" s="48"/>
      <c r="J49" s="48"/>
      <c r="K49" s="48"/>
      <c r="L49" s="107"/>
    </row>
    <row r="50" spans="1:15" x14ac:dyDescent="0.2">
      <c r="B50" s="145" t="s">
        <v>176</v>
      </c>
      <c r="C50" s="146">
        <f>+C32+C34+C36+C38+C40+C42+C44+C46+C48</f>
        <v>402</v>
      </c>
      <c r="D50" s="146">
        <f>+D32+D34+D36+D38+D40+D42+D44+D46+D48</f>
        <v>545</v>
      </c>
      <c r="E50" s="146">
        <f t="shared" ref="E50:H51" si="8">+E32+E34+E36+E38+E40+E42+E44+E46+E48</f>
        <v>412</v>
      </c>
      <c r="F50" s="146">
        <f t="shared" si="8"/>
        <v>402</v>
      </c>
      <c r="G50" s="146">
        <f t="shared" si="8"/>
        <v>385</v>
      </c>
      <c r="H50" s="147">
        <f t="shared" si="8"/>
        <v>405</v>
      </c>
      <c r="I50" s="48"/>
      <c r="J50" s="48"/>
      <c r="K50" s="48"/>
      <c r="L50" s="107"/>
    </row>
    <row r="51" spans="1:15" x14ac:dyDescent="0.2">
      <c r="B51" s="148"/>
      <c r="C51" s="149">
        <f>+C33+C35+C37+C39+C41+C43+C45+C47+C49</f>
        <v>1</v>
      </c>
      <c r="D51" s="149">
        <f>+D33+D35+D37+D39+D41+D43+D45+D47+D49</f>
        <v>1</v>
      </c>
      <c r="E51" s="149">
        <f t="shared" si="8"/>
        <v>1</v>
      </c>
      <c r="F51" s="149">
        <f t="shared" si="8"/>
        <v>1</v>
      </c>
      <c r="G51" s="149">
        <f t="shared" si="8"/>
        <v>1</v>
      </c>
      <c r="H51" s="149">
        <f t="shared" si="8"/>
        <v>1</v>
      </c>
      <c r="I51" s="48"/>
      <c r="J51" s="48"/>
      <c r="K51" s="48"/>
      <c r="L51" s="47"/>
      <c r="M51" s="47"/>
      <c r="N51" s="47"/>
      <c r="O51" s="47"/>
    </row>
    <row r="52" spans="1:15" x14ac:dyDescent="0.2">
      <c r="B52" s="43" t="s">
        <v>177</v>
      </c>
      <c r="C52" s="43"/>
      <c r="D52" s="150">
        <f>+(D50-C50)/C50</f>
        <v>0.35572139303482586</v>
      </c>
      <c r="E52" s="150">
        <f>IF(E50&gt;0,(E50-D50)/D50,0)</f>
        <v>-0.24403669724770644</v>
      </c>
      <c r="F52" s="150">
        <f t="shared" ref="F52:H52" si="9">IF(F50&gt;0,(F50-E50)/E50,0)</f>
        <v>-2.4271844660194174E-2</v>
      </c>
      <c r="G52" s="150">
        <f t="shared" si="9"/>
        <v>-4.228855721393035E-2</v>
      </c>
      <c r="H52" s="150">
        <f t="shared" si="9"/>
        <v>5.1948051948051951E-2</v>
      </c>
      <c r="I52" s="48"/>
      <c r="J52" s="48"/>
      <c r="K52" s="48"/>
      <c r="L52" s="47"/>
      <c r="M52" s="47"/>
      <c r="N52" s="47"/>
      <c r="O52" s="47"/>
    </row>
    <row r="53" spans="1:15" x14ac:dyDescent="0.2">
      <c r="G53" s="47"/>
      <c r="H53" s="47"/>
      <c r="I53" s="47"/>
      <c r="J53" s="47"/>
      <c r="K53" s="47"/>
      <c r="L53" s="47"/>
      <c r="M53" s="47"/>
    </row>
    <row r="54" spans="1:1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86F16AB2D43409958BEC11539503F" ma:contentTypeVersion="13" ma:contentTypeDescription="Create a new document." ma:contentTypeScope="" ma:versionID="0b56554ef8b669dd301bb208bc866de5">
  <xsd:schema xmlns:xsd="http://www.w3.org/2001/XMLSchema" xmlns:xs="http://www.w3.org/2001/XMLSchema" xmlns:p="http://schemas.microsoft.com/office/2006/metadata/properties" xmlns:ns2="76b2e5ed-d6fe-43c8-9100-6c947b608757" xmlns:ns3="286665a3-6aa0-44f0-8270-5434b9b1ed29" targetNamespace="http://schemas.microsoft.com/office/2006/metadata/properties" ma:root="true" ma:fieldsID="24b7b1def58d43ac7ef95419cb961808" ns2:_="" ns3:_="">
    <xsd:import namespace="76b2e5ed-d6fe-43c8-9100-6c947b608757"/>
    <xsd:import namespace="286665a3-6aa0-44f0-8270-5434b9b1ed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2e5ed-d6fe-43c8-9100-6c947b608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d8cd105-c221-4115-850c-16ef61af48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665a3-6aa0-44f0-8270-5434b9b1ed2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20f0091-462b-4a63-8ae6-a358cd53c912}" ma:internalName="TaxCatchAll" ma:showField="CatchAllData" ma:web="286665a3-6aa0-44f0-8270-5434b9b1e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b2e5ed-d6fe-43c8-9100-6c947b608757">
      <Terms xmlns="http://schemas.microsoft.com/office/infopath/2007/PartnerControls"/>
    </lcf76f155ced4ddcb4097134ff3c332f>
    <TaxCatchAll xmlns="286665a3-6aa0-44f0-8270-5434b9b1ed29" xsi:nil="true"/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95C89DA-9A94-4E96-985F-5D6DBC6DD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b2e5ed-d6fe-43c8-9100-6c947b608757"/>
    <ds:schemaRef ds:uri="286665a3-6aa0-44f0-8270-5434b9b1e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76b2e5ed-d6fe-43c8-9100-6c947b608757"/>
    <ds:schemaRef ds:uri="286665a3-6aa0-44f0-8270-5434b9b1ed29"/>
  </ds:schemaRefs>
</ds:datastoreItem>
</file>

<file path=customXml/itemProps4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</vt:lpstr>
      <vt:lpstr>Facilities</vt:lpstr>
      <vt:lpstr>Sheet1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Ronald Fick</cp:lastModifiedBy>
  <cp:revision/>
  <cp:lastPrinted>2022-05-23T23:24:16Z</cp:lastPrinted>
  <dcterms:created xsi:type="dcterms:W3CDTF">2011-01-17T07:44:01Z</dcterms:created>
  <dcterms:modified xsi:type="dcterms:W3CDTF">2022-09-29T17:18:54Z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0x010100B0186F16AB2D43409958BEC11539503F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